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xml"/>
  <Override PartName="/xl/embeddings/oleObject1.bin" ContentType="application/vnd.openxmlformats-officedocument.oleObject"/>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charts/style6.xml" ContentType="application/vnd.ms-office.chartstyle+xml"/>
  <Override PartName="/xl/charts/colors6.xml" ContentType="application/vnd.ms-office.chartcolorstyle+xml"/>
  <Override PartName="/xl/charts/chart2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updateLinks="never" codeName="ThisWorkbook" defaultThemeVersion="124226"/>
  <mc:AlternateContent xmlns:mc="http://schemas.openxmlformats.org/markup-compatibility/2006">
    <mc:Choice Requires="x15">
      <x15ac:absPath xmlns:x15ac="http://schemas.microsoft.com/office/spreadsheetml/2010/11/ac" url="X:\4_REPORTES 11-04-18\6_LEY DE TRANSPARENCIA\4_2018_LEY DE TRANSPARENCIA\10_2018_JEFATURA_PLANIFICACIÓN\anexo literal m\"/>
    </mc:Choice>
  </mc:AlternateContent>
  <xr:revisionPtr revIDLastSave="0" documentId="8_{8E1E0A1A-1560-4085-AE3B-842CAC719444}" xr6:coauthVersionLast="40" xr6:coauthVersionMax="40" xr10:uidLastSave="{00000000-0000-0000-0000-000000000000}"/>
  <bookViews>
    <workbookView xWindow="0" yWindow="0" windowWidth="20490" windowHeight="7545" tabRatio="930" activeTab="1" xr2:uid="{00000000-000D-0000-FFFF-FFFF00000000}"/>
  </bookViews>
  <sheets>
    <sheet name="CONTENIDOS" sheetId="86" r:id="rId1"/>
    <sheet name="RESUMEN " sheetId="84" r:id="rId2"/>
    <sheet name="01_MWh GENERACIÓN" sheetId="42" r:id="rId3"/>
    <sheet name="02_CONSUMO COMBUSTIBLE" sheetId="43" r:id="rId4"/>
    <sheet name="02_2_Ahorro_Galones" sheetId="101" r:id="rId5"/>
    <sheet name="03_MWh CONSUMIDA" sheetId="71" r:id="rId6"/>
    <sheet name="04_FACT x kWh CONSUMIDA" sheetId="72" r:id="rId7"/>
    <sheet name="05_RECAU X kWh CONSUMIDA" sheetId="73" r:id="rId8"/>
    <sheet name="06_IND_RECAUDACION" sheetId="74" r:id="rId9"/>
    <sheet name="07_IND_RECAUDACION" sheetId="75" r:id="rId10"/>
    <sheet name="08_CARTERA VENCIDA &gt;30" sheetId="76" r:id="rId11"/>
    <sheet name="09_PÉRDIDAS " sheetId="106" r:id="rId12"/>
    <sheet name="10_TTIK_2013_cabecera " sheetId="41" r:id="rId13"/>
    <sheet name="11_FMIK_2013_cabecera " sheetId="40" r:id="rId14"/>
    <sheet name="12_# MEDIDORES " sheetId="77" r:id="rId15"/>
    <sheet name="13_CLIENTES" sheetId="78" r:id="rId16"/>
    <sheet name="14_CLIENTxTRAB_electric " sheetId="81" r:id="rId17"/>
    <sheet name="15_PEF_2015-2016" sheetId="79" r:id="rId18"/>
    <sheet name="17_Pago horas extras" sheetId="99" r:id="rId19"/>
    <sheet name="18_ISC " sheetId="96" r:id="rId20"/>
    <sheet name="19 PRESUPUESTO  " sheetId="60" r:id="rId21"/>
    <sheet name="20 COMPRAS " sheetId="61" r:id="rId22"/>
    <sheet name="21_RENOVA" sheetId="97" r:id="rId23"/>
    <sheet name="22_PROYECTOS RENOVABLE" sheetId="67" state="hidden" r:id="rId24"/>
    <sheet name="23_CAMBIO_MEDIDORES" sheetId="95" r:id="rId25"/>
    <sheet name="24_PROYECTO_PEC" sheetId="93" r:id="rId26"/>
    <sheet name="25_PROYECTOS INVER" sheetId="104" r:id="rId27"/>
    <sheet name="26_CAPACITACIÓN." sheetId="100" r:id="rId28"/>
    <sheet name="27_RESPONSABILIDAD SOCIAL." sheetId="103" r:id="rId29"/>
    <sheet name="CIUDADANIA" sheetId="85" r:id="rId30"/>
    <sheet name="FINANZAS" sheetId="87" r:id="rId31"/>
    <sheet name="OPERACION" sheetId="88" r:id="rId32"/>
    <sheet name="APRENDIZAJE" sheetId="89" r:id="rId33"/>
  </sheets>
  <externalReferences>
    <externalReference r:id="rId34"/>
    <externalReference r:id="rId35"/>
    <externalReference r:id="rId36"/>
    <externalReference r:id="rId37"/>
  </externalReferences>
  <definedNames>
    <definedName name="_xlnm.Print_Area" localSheetId="2">'01_MWh GENERACIÓN'!$A$1:$M$214</definedName>
    <definedName name="_xlnm.Print_Area" localSheetId="4">'02_2_Ahorro_Galones'!$A$1:$Y$129</definedName>
    <definedName name="_xlnm.Print_Area" localSheetId="3">'02_CONSUMO COMBUSTIBLE'!$A$1:$G$131</definedName>
    <definedName name="_xlnm.Print_Area" localSheetId="5">'03_MWh CONSUMIDA'!$A$1:$G$130</definedName>
    <definedName name="_xlnm.Print_Area" localSheetId="6">'04_FACT x kWh CONSUMIDA'!$A$1:$G$126</definedName>
    <definedName name="_xlnm.Print_Area" localSheetId="7">'05_RECAU X kWh CONSUMIDA'!$A$1:$G$126</definedName>
    <definedName name="_xlnm.Print_Area" localSheetId="8">'06_IND_RECAUDACION'!$A$1:$G$126</definedName>
    <definedName name="_xlnm.Print_Area" localSheetId="9">'07_IND_RECAUDACION'!$A$1:$G$126</definedName>
    <definedName name="_xlnm.Print_Area" localSheetId="10">'08_CARTERA VENCIDA &gt;30'!$A$1:$G$106</definedName>
    <definedName name="_xlnm.Print_Area" localSheetId="11">'09_PÉRDIDAS '!$A$1:$S$132</definedName>
    <definedName name="_xlnm.Print_Area" localSheetId="12">'10_TTIK_2013_cabecera '!$A$1:$L$105</definedName>
    <definedName name="_xlnm.Print_Area" localSheetId="13">'11_FMIK_2013_cabecera '!$A$1:$L$104</definedName>
    <definedName name="_xlnm.Print_Area" localSheetId="14">'12_# MEDIDORES '!$A$1:$J$123</definedName>
    <definedName name="_xlnm.Print_Area" localSheetId="15">'13_CLIENTES'!$A$1:$I$126</definedName>
    <definedName name="_xlnm.Print_Area" localSheetId="16">'14_CLIENTxTRAB_electric '!$A$1:$O$110</definedName>
    <definedName name="_xlnm.Print_Area" localSheetId="17">'15_PEF_2015-2016'!$A$1:$M$112</definedName>
    <definedName name="_xlnm.Print_Area" localSheetId="18">'17_Pago horas extras'!$A$1:$BI$63</definedName>
    <definedName name="_xlnm.Print_Area" localSheetId="19">'18_ISC '!$A$1:$O$42</definedName>
    <definedName name="_xlnm.Print_Area" localSheetId="20">'19 PRESUPUESTO  '!$A$1:$O$77</definedName>
    <definedName name="_xlnm.Print_Area" localSheetId="21">'20 COMPRAS '!$A$1:$S$156</definedName>
    <definedName name="_xlnm.Print_Area" localSheetId="22">'21_RENOVA'!$A$1:$L$102</definedName>
    <definedName name="_xlnm.Print_Area" localSheetId="23">'22_PROYECTOS RENOVABLE'!$A$1:$F$94</definedName>
    <definedName name="_xlnm.Print_Area" localSheetId="24">'23_CAMBIO_MEDIDORES'!$A$1:$N$85</definedName>
    <definedName name="_xlnm.Print_Area" localSheetId="25">'24_PROYECTO_PEC'!$A$1:$S$137</definedName>
    <definedName name="_xlnm.Print_Area" localSheetId="26">'25_PROYECTOS INVER'!$A$1:$N$104</definedName>
    <definedName name="_xlnm.Print_Area" localSheetId="27">'26_CAPACITACIÓN.'!$A$1:$N$55</definedName>
    <definedName name="_xlnm.Print_Area" localSheetId="28">'27_RESPONSABILIDAD SOCIAL.'!$A$1:$M$43</definedName>
    <definedName name="_xlnm.Print_Area" localSheetId="32">APRENDIZAJE!$J$27</definedName>
    <definedName name="_xlnm.Print_Area" localSheetId="29">CIUDADANIA!$A$2:$L$54</definedName>
    <definedName name="_xlnm.Print_Area" localSheetId="0">CONTENIDOS!$A$1:$K$45</definedName>
    <definedName name="_xlnm.Print_Area" localSheetId="30">FINANZAS!$A$1:$L$49</definedName>
    <definedName name="_xlnm.Print_Area" localSheetId="31">OPERACION!$A$1:$L$47</definedName>
    <definedName name="DropAlimentador" localSheetId="26">[1]Catálogos!$BM$12:$BM$87</definedName>
    <definedName name="DropAlimentador">[2]Catálogos!$BM$12:$BM$87</definedName>
    <definedName name="DropSubestacion" localSheetId="26">[1]Catálogos!$F$12:$F$34</definedName>
    <definedName name="DropSubestacion">[2]Catálogos!$F$12:$F$34</definedName>
    <definedName name="DropTipoArea" localSheetId="26">[1]Catálogos!$AA$12:$AA$13</definedName>
    <definedName name="DropTipoArea">[2]Catálogos!$AA$12:$AA$13</definedName>
    <definedName name="juan" localSheetId="16">'14_CLIENTxTRAB_electric '!$A$1:$O$111</definedName>
    <definedName name="Print_Area" localSheetId="11">'09_PÉRDIDAS '!$A$1:$S$100</definedName>
    <definedName name="Print_Area" localSheetId="16">'14_CLIENTxTRAB_electric '!$A$1:$O$111</definedName>
    <definedName name="se" localSheetId="11">'09_PÉRDIDAS '!$A$1:$S$100</definedName>
    <definedName name="_xlnm.Print_Titles" localSheetId="1">'RESUMEN '!$2:$5</definedName>
  </definedNames>
  <calcPr calcId="181029"/>
</workbook>
</file>

<file path=xl/calcChain.xml><?xml version="1.0" encoding="utf-8"?>
<calcChain xmlns="http://schemas.openxmlformats.org/spreadsheetml/2006/main">
  <c r="S71" i="61" l="1"/>
  <c r="S68" i="61"/>
  <c r="S69" i="61"/>
  <c r="S70" i="61"/>
  <c r="S72" i="61" s="1"/>
  <c r="R132" i="61"/>
  <c r="R133" i="61"/>
  <c r="M112" i="42" l="1"/>
  <c r="BX17" i="84"/>
  <c r="BV6" i="84"/>
  <c r="BV7" i="84"/>
  <c r="BV8" i="84"/>
  <c r="BV9" i="84"/>
  <c r="BV10" i="84"/>
  <c r="BV11" i="84"/>
  <c r="BV12" i="84"/>
  <c r="BV14" i="84"/>
  <c r="BV16" i="84"/>
  <c r="BV17" i="84"/>
  <c r="BV18" i="84"/>
  <c r="BV19" i="84"/>
  <c r="BV20" i="84"/>
  <c r="BV21" i="84"/>
  <c r="BV22" i="84"/>
  <c r="BV23" i="84"/>
  <c r="BV24" i="84"/>
  <c r="BV25" i="84"/>
  <c r="BV26" i="84"/>
  <c r="BV27" i="84"/>
  <c r="BV28" i="84"/>
  <c r="BV29" i="84"/>
  <c r="BV30" i="84"/>
  <c r="BV31" i="84"/>
  <c r="BV32" i="84"/>
  <c r="BV33" i="84"/>
  <c r="BV34" i="84"/>
  <c r="BV35" i="84"/>
  <c r="BV36" i="84"/>
  <c r="BV37" i="84"/>
  <c r="BV38" i="84"/>
  <c r="BV39" i="84"/>
  <c r="BV40" i="84"/>
  <c r="BV41" i="84"/>
  <c r="BV42" i="84"/>
  <c r="BV43" i="84"/>
  <c r="BV44" i="84"/>
  <c r="BV45" i="84"/>
  <c r="BV46" i="84"/>
  <c r="BV47" i="84"/>
  <c r="BV48" i="84"/>
  <c r="BV49" i="84"/>
  <c r="BV50" i="84"/>
  <c r="BV51" i="84"/>
  <c r="BV53" i="84"/>
  <c r="BV54" i="84"/>
  <c r="BV55" i="84"/>
  <c r="BV56" i="84"/>
  <c r="BV57" i="84"/>
  <c r="BV58" i="84"/>
  <c r="BV60" i="84"/>
  <c r="BV61" i="84"/>
  <c r="BW17" i="84"/>
  <c r="G103" i="72" l="1"/>
  <c r="G103" i="73"/>
  <c r="BI40" i="99" l="1"/>
  <c r="BH40" i="99"/>
  <c r="BG40" i="99"/>
  <c r="BI30" i="99"/>
  <c r="BH30" i="99"/>
  <c r="BG30" i="99"/>
  <c r="BH20" i="99"/>
  <c r="BI20" i="99"/>
  <c r="L88" i="81"/>
  <c r="I100" i="78"/>
  <c r="I101" i="78"/>
  <c r="G109" i="43" l="1"/>
  <c r="D113" i="42"/>
  <c r="K113" i="42"/>
  <c r="L113" i="42"/>
  <c r="F107" i="42"/>
  <c r="F106" i="42"/>
  <c r="F105" i="42"/>
  <c r="F104" i="42"/>
  <c r="F108" i="42"/>
  <c r="F109" i="42"/>
  <c r="F110" i="42"/>
  <c r="F112" i="42"/>
  <c r="F113" i="42" s="1"/>
  <c r="F111" i="42"/>
  <c r="L104" i="42"/>
  <c r="L105" i="42"/>
  <c r="L106" i="42"/>
  <c r="L107" i="42"/>
  <c r="L108" i="42"/>
  <c r="L109" i="42"/>
  <c r="L110" i="42"/>
  <c r="L111" i="42"/>
  <c r="L112" i="42"/>
  <c r="J112" i="42"/>
  <c r="H112" i="42"/>
  <c r="I112" i="42"/>
  <c r="I113" i="42" s="1"/>
  <c r="G112" i="42"/>
  <c r="E112" i="42"/>
  <c r="C112" i="42"/>
  <c r="B112" i="42"/>
  <c r="E85" i="106" l="1"/>
  <c r="C86" i="106"/>
  <c r="E86" i="106" s="1"/>
  <c r="M120" i="106"/>
  <c r="M121" i="106"/>
  <c r="R131" i="61" l="1"/>
  <c r="G72" i="60"/>
  <c r="D72" i="60"/>
  <c r="G103" i="75"/>
  <c r="D103" i="75"/>
  <c r="D102" i="74"/>
  <c r="G102" i="73"/>
  <c r="G102" i="72"/>
  <c r="I105" i="101"/>
  <c r="O105" i="101"/>
  <c r="Q105" i="101"/>
  <c r="R105" i="101"/>
  <c r="C105" i="101" s="1"/>
  <c r="T105" i="101"/>
  <c r="W105" i="101"/>
  <c r="G108" i="43"/>
  <c r="J111" i="42"/>
  <c r="J113" i="42" s="1"/>
  <c r="H111" i="42"/>
  <c r="H113" i="42" s="1"/>
  <c r="G111" i="42"/>
  <c r="G113" i="42" s="1"/>
  <c r="E111" i="42"/>
  <c r="E113" i="42" s="1"/>
  <c r="C111" i="42"/>
  <c r="C113" i="42" s="1"/>
  <c r="B111" i="42"/>
  <c r="M111" i="42" l="1"/>
  <c r="M113" i="42" s="1"/>
  <c r="B113" i="42"/>
  <c r="S105" i="101"/>
  <c r="J105" i="101"/>
  <c r="D105" i="101" s="1"/>
  <c r="U105" i="101"/>
  <c r="M105" i="101"/>
  <c r="H105" i="101"/>
  <c r="N105" i="101"/>
  <c r="P105" i="101"/>
  <c r="K105" i="101"/>
  <c r="D103" i="74"/>
  <c r="B105" i="101" l="1"/>
  <c r="X105" i="101"/>
  <c r="E105" i="101"/>
  <c r="F105" i="101" l="1"/>
  <c r="G105" i="101" s="1"/>
  <c r="C40" i="103"/>
  <c r="D40" i="103"/>
  <c r="F40" i="103"/>
  <c r="G40" i="103"/>
  <c r="H40" i="103"/>
  <c r="I40" i="103"/>
  <c r="J40" i="103"/>
  <c r="K40" i="103"/>
  <c r="B104" i="72" l="1"/>
  <c r="C102" i="78" l="1"/>
  <c r="D102" i="78"/>
  <c r="E102" i="78"/>
  <c r="F102" i="78"/>
  <c r="G102" i="78"/>
  <c r="H102" i="78"/>
  <c r="B102" i="78"/>
  <c r="L120" i="106" l="1"/>
  <c r="L121" i="106" s="1"/>
  <c r="C82" i="76" l="1"/>
  <c r="D82" i="76"/>
  <c r="E82" i="76"/>
  <c r="F82" i="76"/>
  <c r="B82" i="76"/>
  <c r="C105" i="75"/>
  <c r="E105" i="75"/>
  <c r="F105" i="75"/>
  <c r="B105" i="75"/>
  <c r="C104" i="74"/>
  <c r="B104" i="74"/>
  <c r="C104" i="73"/>
  <c r="D104" i="73"/>
  <c r="E104" i="73"/>
  <c r="F104" i="73"/>
  <c r="B104" i="73"/>
  <c r="C104" i="72"/>
  <c r="D104" i="72"/>
  <c r="E104" i="72"/>
  <c r="F104" i="72"/>
  <c r="C110" i="71"/>
  <c r="D110" i="71"/>
  <c r="E110" i="71"/>
  <c r="F110" i="71"/>
  <c r="B110" i="71"/>
  <c r="L107" i="101"/>
  <c r="O104" i="101"/>
  <c r="T104" i="101"/>
  <c r="U104" i="101"/>
  <c r="W104" i="101"/>
  <c r="N106" i="101"/>
  <c r="O106" i="101"/>
  <c r="P106" i="101"/>
  <c r="T106" i="101"/>
  <c r="U106" i="101"/>
  <c r="K104" i="101"/>
  <c r="K106" i="101"/>
  <c r="J106" i="101"/>
  <c r="I106" i="101"/>
  <c r="H106" i="101"/>
  <c r="C110" i="43"/>
  <c r="D110" i="43"/>
  <c r="E110" i="43"/>
  <c r="B110" i="43"/>
  <c r="S106" i="101"/>
  <c r="L175" i="42"/>
  <c r="U107" i="101" l="1"/>
  <c r="L176" i="42"/>
  <c r="W106" i="101"/>
  <c r="W107" i="101" s="1"/>
  <c r="R106" i="101"/>
  <c r="L177" i="42"/>
  <c r="Q106" i="101"/>
  <c r="M106" i="101"/>
  <c r="K107" i="101"/>
  <c r="O107" i="101"/>
  <c r="E104" i="101"/>
  <c r="X106" i="101" l="1"/>
  <c r="G102" i="75"/>
  <c r="G105" i="75" s="1"/>
  <c r="D102" i="75"/>
  <c r="D105" i="75" s="1"/>
  <c r="R130" i="61" l="1"/>
  <c r="C134" i="61"/>
  <c r="D134" i="61"/>
  <c r="E134" i="61"/>
  <c r="F134" i="61"/>
  <c r="G134" i="61"/>
  <c r="H134" i="61"/>
  <c r="I134" i="61"/>
  <c r="J134" i="61"/>
  <c r="K134" i="61"/>
  <c r="L134" i="61"/>
  <c r="M134" i="61"/>
  <c r="N134" i="61"/>
  <c r="O134" i="61"/>
  <c r="P134" i="61"/>
  <c r="Q134" i="61"/>
  <c r="B134" i="61"/>
  <c r="C72" i="61"/>
  <c r="D72" i="61"/>
  <c r="E72" i="61"/>
  <c r="F72" i="61"/>
  <c r="G72" i="61"/>
  <c r="H72" i="61"/>
  <c r="I72" i="61"/>
  <c r="J72" i="61"/>
  <c r="K72" i="61"/>
  <c r="L72" i="61"/>
  <c r="M72" i="61"/>
  <c r="N72" i="61"/>
  <c r="O72" i="61"/>
  <c r="P72" i="61"/>
  <c r="Q72" i="61"/>
  <c r="R72" i="61"/>
  <c r="B72" i="61"/>
  <c r="G79" i="76" l="1"/>
  <c r="G82" i="76" s="1"/>
  <c r="G107" i="71"/>
  <c r="G110" i="71" s="1"/>
  <c r="R128" i="61" l="1"/>
  <c r="R129" i="61"/>
  <c r="S66" i="61"/>
  <c r="S67" i="61"/>
  <c r="N50" i="100"/>
  <c r="E50" i="100"/>
  <c r="P116" i="93"/>
  <c r="O116" i="93"/>
  <c r="N116" i="93"/>
  <c r="G69" i="60"/>
  <c r="D69" i="60"/>
  <c r="G70" i="60"/>
  <c r="D70" i="60"/>
  <c r="BF40" i="99" l="1"/>
  <c r="BF30" i="99"/>
  <c r="BF20" i="99"/>
  <c r="BE40" i="99"/>
  <c r="BE30" i="99"/>
  <c r="BE20" i="99"/>
  <c r="I98" i="78"/>
  <c r="E108" i="77"/>
  <c r="K120" i="106"/>
  <c r="K121" i="106" s="1"/>
  <c r="C84" i="106" s="1"/>
  <c r="E84" i="106" s="1"/>
  <c r="D83" i="106"/>
  <c r="D100" i="74"/>
  <c r="G100" i="73"/>
  <c r="G100" i="72"/>
  <c r="T103" i="101"/>
  <c r="S103" i="101"/>
  <c r="O103" i="101"/>
  <c r="N103" i="101"/>
  <c r="G107" i="43"/>
  <c r="G110" i="43" s="1"/>
  <c r="G106" i="43"/>
  <c r="H110" i="42"/>
  <c r="G110" i="42"/>
  <c r="E110" i="42"/>
  <c r="C110" i="42"/>
  <c r="J176" i="42" s="1"/>
  <c r="B110" i="42"/>
  <c r="W103" i="101"/>
  <c r="J109" i="42"/>
  <c r="U103" i="101" s="1"/>
  <c r="H109" i="42"/>
  <c r="J103" i="101" s="1"/>
  <c r="G109" i="42"/>
  <c r="R103" i="101" s="1"/>
  <c r="Q103" i="101"/>
  <c r="E109" i="42"/>
  <c r="P103" i="101" s="1"/>
  <c r="C109" i="42"/>
  <c r="I176" i="42" s="1"/>
  <c r="B109" i="42"/>
  <c r="K103" i="101" l="1"/>
  <c r="I103" i="101"/>
  <c r="Q104" i="101"/>
  <c r="I177" i="42"/>
  <c r="M109" i="42"/>
  <c r="M104" i="101"/>
  <c r="H104" i="101"/>
  <c r="R104" i="101"/>
  <c r="R107" i="101" s="1"/>
  <c r="J177" i="42"/>
  <c r="N104" i="101"/>
  <c r="N107" i="101" s="1"/>
  <c r="K175" i="42"/>
  <c r="K181" i="42" s="1"/>
  <c r="S104" i="101"/>
  <c r="S107" i="101" s="1"/>
  <c r="K176" i="42"/>
  <c r="J104" i="101"/>
  <c r="I175" i="42"/>
  <c r="I104" i="101"/>
  <c r="I107" i="101" s="1"/>
  <c r="P104" i="101"/>
  <c r="P107" i="101" s="1"/>
  <c r="J175" i="42"/>
  <c r="H103" i="101"/>
  <c r="B103" i="101" s="1"/>
  <c r="M103" i="101"/>
  <c r="X103" i="101" s="1"/>
  <c r="C103" i="101"/>
  <c r="BF42" i="99"/>
  <c r="BF44" i="99" s="1"/>
  <c r="E103" i="101"/>
  <c r="D103" i="101"/>
  <c r="BE42" i="99"/>
  <c r="BE44" i="99" s="1"/>
  <c r="BY30" i="84"/>
  <c r="L55" i="100"/>
  <c r="I55" i="100"/>
  <c r="H55" i="100"/>
  <c r="G55" i="100"/>
  <c r="B104" i="101" l="1"/>
  <c r="H107" i="101"/>
  <c r="M107" i="101"/>
  <c r="X104" i="101"/>
  <c r="C104" i="101"/>
  <c r="Q107" i="101"/>
  <c r="D104" i="101"/>
  <c r="J107" i="101"/>
  <c r="F103" i="101"/>
  <c r="G103" i="101" s="1"/>
  <c r="N49" i="100"/>
  <c r="E49" i="100"/>
  <c r="I99" i="78"/>
  <c r="I102" i="78" s="1"/>
  <c r="I97" i="78"/>
  <c r="G97" i="78"/>
  <c r="E107" i="77"/>
  <c r="D101" i="74"/>
  <c r="D104" i="74" s="1"/>
  <c r="G101" i="73"/>
  <c r="G104" i="73" s="1"/>
  <c r="G101" i="72"/>
  <c r="G104" i="72" s="1"/>
  <c r="F104" i="101" l="1"/>
  <c r="G104" i="101" s="1"/>
  <c r="I120" i="106"/>
  <c r="J120" i="106"/>
  <c r="J121" i="106" s="1"/>
  <c r="C83" i="106" s="1"/>
  <c r="E83" i="106" s="1"/>
  <c r="M110" i="42" l="1"/>
  <c r="K177" i="42" l="1"/>
  <c r="D106" i="101"/>
  <c r="O102" i="101"/>
  <c r="G105" i="43"/>
  <c r="J108" i="42"/>
  <c r="H108" i="42"/>
  <c r="G108" i="42"/>
  <c r="H177" i="42"/>
  <c r="E108" i="42"/>
  <c r="I102" i="101" s="1"/>
  <c r="C108" i="42"/>
  <c r="B108" i="42"/>
  <c r="M102" i="101" l="1"/>
  <c r="H175" i="42"/>
  <c r="H176" i="42"/>
  <c r="K180" i="42"/>
  <c r="H102" i="101"/>
  <c r="W102" i="101"/>
  <c r="Q102" i="101"/>
  <c r="U102" i="101"/>
  <c r="P102" i="101"/>
  <c r="K102" i="101"/>
  <c r="S102" i="101"/>
  <c r="J102" i="101"/>
  <c r="M108" i="42"/>
  <c r="R102" i="101"/>
  <c r="N102" i="101"/>
  <c r="E106" i="101"/>
  <c r="E107" i="101" s="1"/>
  <c r="C106" i="101"/>
  <c r="C107" i="101" s="1"/>
  <c r="B106" i="101"/>
  <c r="B107" i="101" s="1"/>
  <c r="I121" i="106"/>
  <c r="C82" i="106" s="1"/>
  <c r="E81" i="106"/>
  <c r="E82" i="106" l="1"/>
  <c r="B102" i="101"/>
  <c r="X102" i="101"/>
  <c r="X107" i="101" s="1"/>
  <c r="F106" i="101"/>
  <c r="F107" i="101" s="1"/>
  <c r="BG20" i="99"/>
  <c r="BG42" i="99" s="1"/>
  <c r="N40" i="100"/>
  <c r="N41" i="100"/>
  <c r="N42" i="100"/>
  <c r="N43" i="100"/>
  <c r="N44" i="100"/>
  <c r="N45" i="100"/>
  <c r="N46" i="100"/>
  <c r="N47" i="100"/>
  <c r="N48" i="100"/>
  <c r="E44" i="100"/>
  <c r="E45" i="100"/>
  <c r="E46" i="100"/>
  <c r="E47" i="100"/>
  <c r="E48" i="100"/>
  <c r="BG44" i="99" l="1"/>
  <c r="G106" i="101"/>
  <c r="G107" i="101" s="1"/>
  <c r="G99" i="73"/>
  <c r="BY8" i="84" l="1"/>
  <c r="BY15" i="84"/>
  <c r="N55" i="95"/>
  <c r="N56" i="95"/>
  <c r="N57" i="95"/>
  <c r="M55" i="95"/>
  <c r="M56" i="95"/>
  <c r="M57" i="95"/>
  <c r="L55" i="95"/>
  <c r="L56" i="95"/>
  <c r="L57" i="95"/>
  <c r="K55" i="95"/>
  <c r="K56" i="95"/>
  <c r="K57" i="95"/>
  <c r="G93" i="78"/>
  <c r="G94" i="78"/>
  <c r="G95" i="78"/>
  <c r="G96" i="78"/>
  <c r="D99" i="74"/>
  <c r="G99" i="72"/>
  <c r="G105" i="71"/>
  <c r="G65" i="60" l="1"/>
  <c r="G66" i="60"/>
  <c r="G67" i="60"/>
  <c r="G68" i="60"/>
  <c r="G71" i="60"/>
  <c r="D65" i="60"/>
  <c r="D66" i="60"/>
  <c r="D67" i="60"/>
  <c r="D68" i="60"/>
  <c r="D71" i="60"/>
  <c r="J25" i="42" l="1"/>
  <c r="J38" i="42"/>
  <c r="J51" i="42"/>
  <c r="J64" i="42"/>
  <c r="E102" i="101" l="1"/>
  <c r="C102" i="101"/>
  <c r="BO58" i="84"/>
  <c r="BP58" i="84"/>
  <c r="BQ58" i="84"/>
  <c r="BR58" i="84"/>
  <c r="BY31" i="84"/>
  <c r="BY32" i="84"/>
  <c r="BY33" i="84"/>
  <c r="BY34" i="84"/>
  <c r="BY25" i="84"/>
  <c r="BY26" i="84"/>
  <c r="BY27" i="84"/>
  <c r="BY28" i="84"/>
  <c r="BY24" i="84"/>
  <c r="BY45" i="84"/>
  <c r="BY44" i="84"/>
  <c r="BO46" i="84"/>
  <c r="BP46" i="84"/>
  <c r="BQ46" i="84"/>
  <c r="BR46" i="84"/>
  <c r="BO41" i="84"/>
  <c r="BP41" i="84"/>
  <c r="BQ41" i="84"/>
  <c r="BR41" i="84"/>
  <c r="BY36" i="84"/>
  <c r="BY37" i="84"/>
  <c r="BY38" i="84"/>
  <c r="BY39" i="84"/>
  <c r="BP35" i="84"/>
  <c r="BQ35" i="84"/>
  <c r="BR35" i="84"/>
  <c r="BO35" i="84"/>
  <c r="BO29" i="84"/>
  <c r="BP29" i="84"/>
  <c r="BQ29" i="84"/>
  <c r="BR29" i="84"/>
  <c r="AY62" i="99"/>
  <c r="AY61" i="99"/>
  <c r="AY60" i="99"/>
  <c r="AY59" i="99"/>
  <c r="AY58" i="99"/>
  <c r="AY57" i="99"/>
  <c r="AS63" i="99"/>
  <c r="AX63" i="99"/>
  <c r="BY35" i="84" l="1"/>
  <c r="BY29" i="84"/>
  <c r="F102" i="101"/>
  <c r="AY63" i="99"/>
  <c r="G102" i="101" l="1"/>
  <c r="L27" i="103"/>
  <c r="E27" i="103"/>
  <c r="L26" i="103"/>
  <c r="E26" i="103"/>
  <c r="L25" i="103"/>
  <c r="E25" i="103"/>
  <c r="L24" i="103"/>
  <c r="E24" i="103"/>
  <c r="L23" i="103"/>
  <c r="E23" i="103"/>
  <c r="L22" i="103"/>
  <c r="E22" i="103"/>
  <c r="L21" i="103"/>
  <c r="E21" i="103"/>
  <c r="L20" i="103"/>
  <c r="E20" i="103"/>
  <c r="L19" i="103"/>
  <c r="E19" i="103"/>
  <c r="L18" i="103"/>
  <c r="E18" i="103"/>
  <c r="L17" i="103"/>
  <c r="E17" i="103"/>
  <c r="L16" i="103"/>
  <c r="E16" i="103"/>
  <c r="L15" i="103"/>
  <c r="E15" i="103"/>
  <c r="L14" i="103"/>
  <c r="E14" i="103"/>
  <c r="E43" i="100"/>
  <c r="E42" i="100"/>
  <c r="E41" i="100"/>
  <c r="E40" i="100"/>
  <c r="N39" i="100"/>
  <c r="E39" i="100"/>
  <c r="E55" i="100" s="1"/>
  <c r="N38" i="100"/>
  <c r="E38" i="100"/>
  <c r="N37" i="100"/>
  <c r="E37" i="100"/>
  <c r="N36" i="100"/>
  <c r="E36" i="100"/>
  <c r="L35" i="100"/>
  <c r="N35" i="100" s="1"/>
  <c r="E35" i="100"/>
  <c r="L34" i="100"/>
  <c r="N34" i="100" s="1"/>
  <c r="E34" i="100"/>
  <c r="L33" i="100"/>
  <c r="N33" i="100" s="1"/>
  <c r="E33" i="100"/>
  <c r="I29" i="100"/>
  <c r="G29" i="100"/>
  <c r="N28" i="100"/>
  <c r="N27" i="100"/>
  <c r="N26" i="100"/>
  <c r="J25" i="100"/>
  <c r="N25" i="100" s="1"/>
  <c r="E25" i="100"/>
  <c r="J24" i="100"/>
  <c r="N24" i="100" s="1"/>
  <c r="E24" i="100"/>
  <c r="J23" i="100"/>
  <c r="N23" i="100" s="1"/>
  <c r="F23" i="100"/>
  <c r="E23" i="100"/>
  <c r="J22" i="100"/>
  <c r="N22" i="100" s="1"/>
  <c r="F22" i="100"/>
  <c r="E22" i="100"/>
  <c r="J21" i="100"/>
  <c r="N21" i="100" s="1"/>
  <c r="F21" i="100"/>
  <c r="E21" i="100"/>
  <c r="H20" i="100"/>
  <c r="J20" i="100" s="1"/>
  <c r="N20" i="100" s="1"/>
  <c r="F20" i="100"/>
  <c r="E20" i="100"/>
  <c r="H19" i="100"/>
  <c r="F19" i="100"/>
  <c r="E19" i="100"/>
  <c r="C19" i="100"/>
  <c r="J18" i="100"/>
  <c r="N18" i="100" s="1"/>
  <c r="E18" i="100"/>
  <c r="J17" i="100"/>
  <c r="N17" i="100" s="1"/>
  <c r="E17" i="100"/>
  <c r="P115" i="93"/>
  <c r="O115" i="93"/>
  <c r="N115" i="93"/>
  <c r="P102" i="93"/>
  <c r="O102" i="93"/>
  <c r="N102" i="93"/>
  <c r="P101" i="93"/>
  <c r="O101" i="93"/>
  <c r="N101" i="93"/>
  <c r="P100" i="93"/>
  <c r="O100" i="93"/>
  <c r="N100" i="93"/>
  <c r="P99" i="93"/>
  <c r="O99" i="93"/>
  <c r="N99" i="93"/>
  <c r="P98" i="93"/>
  <c r="O98" i="93"/>
  <c r="N98" i="93"/>
  <c r="P97" i="93"/>
  <c r="O97" i="93"/>
  <c r="N97" i="93"/>
  <c r="P96" i="93"/>
  <c r="O96" i="93"/>
  <c r="N96" i="93"/>
  <c r="P95" i="93"/>
  <c r="O95" i="93"/>
  <c r="N95" i="93"/>
  <c r="P94" i="93"/>
  <c r="O94" i="93"/>
  <c r="N94" i="93"/>
  <c r="P93" i="93"/>
  <c r="O93" i="93"/>
  <c r="N93" i="93"/>
  <c r="P92" i="93"/>
  <c r="O92" i="93"/>
  <c r="N92" i="93"/>
  <c r="P91" i="93"/>
  <c r="O91" i="93"/>
  <c r="N91" i="93"/>
  <c r="P90" i="93"/>
  <c r="O90" i="93"/>
  <c r="N90" i="93"/>
  <c r="P89" i="93"/>
  <c r="O89" i="93"/>
  <c r="N89" i="93"/>
  <c r="P88" i="93"/>
  <c r="O88" i="93"/>
  <c r="N88" i="93"/>
  <c r="P87" i="93"/>
  <c r="O87" i="93"/>
  <c r="N87" i="93"/>
  <c r="P86" i="93"/>
  <c r="O86" i="93"/>
  <c r="N86" i="93"/>
  <c r="P85" i="93"/>
  <c r="O85" i="93"/>
  <c r="N85" i="93"/>
  <c r="P84" i="93"/>
  <c r="O84" i="93"/>
  <c r="N84" i="93"/>
  <c r="P83" i="93"/>
  <c r="O83" i="93"/>
  <c r="N83" i="93"/>
  <c r="P82" i="93"/>
  <c r="O82" i="93"/>
  <c r="N82" i="93"/>
  <c r="P81" i="93"/>
  <c r="O81" i="93"/>
  <c r="N81" i="93"/>
  <c r="P80" i="93"/>
  <c r="O80" i="93"/>
  <c r="N80" i="93"/>
  <c r="P79" i="93"/>
  <c r="O79" i="93"/>
  <c r="N79" i="93"/>
  <c r="P78" i="93"/>
  <c r="O78" i="93"/>
  <c r="N78" i="93"/>
  <c r="P77" i="93"/>
  <c r="O77" i="93"/>
  <c r="N77" i="93"/>
  <c r="P76" i="93"/>
  <c r="O76" i="93"/>
  <c r="N76" i="93"/>
  <c r="P75" i="93"/>
  <c r="O75" i="93"/>
  <c r="N75" i="93"/>
  <c r="P74" i="93"/>
  <c r="O74" i="93"/>
  <c r="N74" i="93"/>
  <c r="P73" i="93"/>
  <c r="O73" i="93"/>
  <c r="N73" i="93"/>
  <c r="P72" i="93"/>
  <c r="O72" i="93"/>
  <c r="N72" i="93"/>
  <c r="P71" i="93"/>
  <c r="O71" i="93"/>
  <c r="N71" i="93"/>
  <c r="J60" i="93"/>
  <c r="J59" i="93"/>
  <c r="J58" i="93"/>
  <c r="J57" i="93"/>
  <c r="J56" i="93"/>
  <c r="J55" i="93"/>
  <c r="J54" i="93"/>
  <c r="J53" i="93"/>
  <c r="J52" i="93"/>
  <c r="J51" i="93"/>
  <c r="J50" i="93"/>
  <c r="J49" i="93"/>
  <c r="J48" i="93"/>
  <c r="J47" i="93"/>
  <c r="J46" i="93"/>
  <c r="J45" i="93"/>
  <c r="J44" i="93"/>
  <c r="J43" i="93"/>
  <c r="J42" i="93"/>
  <c r="J41" i="93"/>
  <c r="J40" i="93"/>
  <c r="J39" i="93"/>
  <c r="J38" i="93"/>
  <c r="J37" i="93"/>
  <c r="J36" i="93"/>
  <c r="J35" i="93"/>
  <c r="J34" i="93"/>
  <c r="J33" i="93"/>
  <c r="I16" i="93"/>
  <c r="I17" i="93" s="1"/>
  <c r="I18" i="93" s="1"/>
  <c r="I19" i="93" s="1"/>
  <c r="I20" i="93" s="1"/>
  <c r="I21" i="93" s="1"/>
  <c r="I22" i="93" s="1"/>
  <c r="I23" i="93" s="1"/>
  <c r="I24" i="93" s="1"/>
  <c r="I25" i="93" s="1"/>
  <c r="I26" i="93" s="1"/>
  <c r="I27" i="93" s="1"/>
  <c r="I28" i="93" s="1"/>
  <c r="I29" i="93" s="1"/>
  <c r="I30" i="93" s="1"/>
  <c r="I31" i="93" s="1"/>
  <c r="I32" i="93" s="1"/>
  <c r="H16" i="93"/>
  <c r="H17" i="93" s="1"/>
  <c r="H18" i="93" s="1"/>
  <c r="H19" i="93" s="1"/>
  <c r="H20" i="93" s="1"/>
  <c r="H21" i="93" s="1"/>
  <c r="H22" i="93" s="1"/>
  <c r="H23" i="93" s="1"/>
  <c r="H24" i="93" s="1"/>
  <c r="H25" i="93" s="1"/>
  <c r="H26" i="93" s="1"/>
  <c r="H27" i="93" s="1"/>
  <c r="H28" i="93" s="1"/>
  <c r="H29" i="93" s="1"/>
  <c r="H30" i="93" s="1"/>
  <c r="H31" i="93" s="1"/>
  <c r="H32" i="93" s="1"/>
  <c r="G16" i="93"/>
  <c r="G17" i="93" s="1"/>
  <c r="F16" i="93"/>
  <c r="N54" i="95"/>
  <c r="M54" i="95"/>
  <c r="L54" i="95"/>
  <c r="K54" i="95"/>
  <c r="N53" i="95"/>
  <c r="M53" i="95"/>
  <c r="L53" i="95"/>
  <c r="K53" i="95"/>
  <c r="N52" i="95"/>
  <c r="M52" i="95"/>
  <c r="L52" i="95"/>
  <c r="K52" i="95"/>
  <c r="N51" i="95"/>
  <c r="M51" i="95"/>
  <c r="L51" i="95"/>
  <c r="K51" i="95"/>
  <c r="N50" i="95"/>
  <c r="M50" i="95"/>
  <c r="L50" i="95"/>
  <c r="K50" i="95"/>
  <c r="N49" i="95"/>
  <c r="M49" i="95"/>
  <c r="L49" i="95"/>
  <c r="K49" i="95"/>
  <c r="N48" i="95"/>
  <c r="M48" i="95"/>
  <c r="L48" i="95"/>
  <c r="K48" i="95"/>
  <c r="N47" i="95"/>
  <c r="M47" i="95"/>
  <c r="L47" i="95"/>
  <c r="K47" i="95"/>
  <c r="N46" i="95"/>
  <c r="M46" i="95"/>
  <c r="L46" i="95"/>
  <c r="K46" i="95"/>
  <c r="N45" i="95"/>
  <c r="M45" i="95"/>
  <c r="L45" i="95"/>
  <c r="K45" i="95"/>
  <c r="N44" i="95"/>
  <c r="M44" i="95"/>
  <c r="L44" i="95"/>
  <c r="K44" i="95"/>
  <c r="N43" i="95"/>
  <c r="M43" i="95"/>
  <c r="L43" i="95"/>
  <c r="K43" i="95"/>
  <c r="N42" i="95"/>
  <c r="M42" i="95"/>
  <c r="L42" i="95"/>
  <c r="K42" i="95"/>
  <c r="N41" i="95"/>
  <c r="M41" i="95"/>
  <c r="L41" i="95"/>
  <c r="K41" i="95"/>
  <c r="N40" i="95"/>
  <c r="M40" i="95"/>
  <c r="L40" i="95"/>
  <c r="K40" i="95"/>
  <c r="N39" i="95"/>
  <c r="M39" i="95"/>
  <c r="L39" i="95"/>
  <c r="K39" i="95"/>
  <c r="M38" i="95"/>
  <c r="L38" i="95"/>
  <c r="K38" i="95"/>
  <c r="M37" i="95"/>
  <c r="L37" i="95"/>
  <c r="K37" i="95"/>
  <c r="M36" i="95"/>
  <c r="L36" i="95"/>
  <c r="K36" i="95"/>
  <c r="M35" i="95"/>
  <c r="L35" i="95"/>
  <c r="K35" i="95"/>
  <c r="M34" i="95"/>
  <c r="L34" i="95"/>
  <c r="K34" i="95"/>
  <c r="M33" i="95"/>
  <c r="L33" i="95"/>
  <c r="K33" i="95"/>
  <c r="M32" i="95"/>
  <c r="L32" i="95"/>
  <c r="K32" i="95"/>
  <c r="N31" i="95"/>
  <c r="M31" i="95"/>
  <c r="L31" i="95"/>
  <c r="K31" i="95"/>
  <c r="N30" i="95"/>
  <c r="M30" i="95"/>
  <c r="L30" i="95"/>
  <c r="K30" i="95"/>
  <c r="N29" i="95"/>
  <c r="M29" i="95"/>
  <c r="L29" i="95"/>
  <c r="K29" i="95"/>
  <c r="N28" i="95"/>
  <c r="M28" i="95"/>
  <c r="L28" i="95"/>
  <c r="K28" i="95"/>
  <c r="N27" i="95"/>
  <c r="M27" i="95"/>
  <c r="L27" i="95"/>
  <c r="K27" i="95"/>
  <c r="N26" i="95"/>
  <c r="M26" i="95"/>
  <c r="L26" i="95"/>
  <c r="K26" i="95"/>
  <c r="N25" i="95"/>
  <c r="M25" i="95"/>
  <c r="L25" i="95"/>
  <c r="K25" i="95"/>
  <c r="N24" i="95"/>
  <c r="M24" i="95"/>
  <c r="L24" i="95"/>
  <c r="K24" i="95"/>
  <c r="N23" i="95"/>
  <c r="M23" i="95"/>
  <c r="L23" i="95"/>
  <c r="K23" i="95"/>
  <c r="N22" i="95"/>
  <c r="M22" i="95"/>
  <c r="L22" i="95"/>
  <c r="K22" i="95"/>
  <c r="N21" i="95"/>
  <c r="M21" i="95"/>
  <c r="L21" i="95"/>
  <c r="K21" i="95"/>
  <c r="N20" i="95"/>
  <c r="M20" i="95"/>
  <c r="L20" i="95"/>
  <c r="K20" i="95"/>
  <c r="N19" i="95"/>
  <c r="M19" i="95"/>
  <c r="L19" i="95"/>
  <c r="K19" i="95"/>
  <c r="N18" i="95"/>
  <c r="M18" i="95"/>
  <c r="N17" i="95"/>
  <c r="M17" i="95"/>
  <c r="L17" i="95"/>
  <c r="K17" i="95"/>
  <c r="N16" i="95"/>
  <c r="M16" i="95"/>
  <c r="L16" i="95"/>
  <c r="K16" i="95"/>
  <c r="N15" i="95"/>
  <c r="M15" i="95"/>
  <c r="L15" i="95"/>
  <c r="K15" i="95"/>
  <c r="N14" i="95"/>
  <c r="M14" i="95"/>
  <c r="L14" i="95"/>
  <c r="K14" i="95"/>
  <c r="N13" i="95"/>
  <c r="M13" i="95"/>
  <c r="L13" i="95"/>
  <c r="K13" i="95"/>
  <c r="F55" i="97"/>
  <c r="F54" i="97"/>
  <c r="F53" i="97"/>
  <c r="F52" i="97"/>
  <c r="F51" i="97"/>
  <c r="F50" i="97"/>
  <c r="F49" i="97"/>
  <c r="F48" i="97"/>
  <c r="F47" i="97"/>
  <c r="F46" i="97"/>
  <c r="F45" i="97"/>
  <c r="F44" i="97"/>
  <c r="F43" i="97"/>
  <c r="F42" i="97"/>
  <c r="F41" i="97"/>
  <c r="F40" i="97"/>
  <c r="F39" i="97"/>
  <c r="F38" i="97"/>
  <c r="F37" i="97"/>
  <c r="F36" i="97"/>
  <c r="F35" i="97"/>
  <c r="F34" i="97"/>
  <c r="F33" i="97"/>
  <c r="F32" i="97"/>
  <c r="F31" i="97"/>
  <c r="F30" i="97"/>
  <c r="F29" i="97"/>
  <c r="F28" i="97"/>
  <c r="R127" i="61"/>
  <c r="S65" i="61"/>
  <c r="R126" i="61"/>
  <c r="S64" i="61"/>
  <c r="R125" i="61"/>
  <c r="S63" i="61"/>
  <c r="R124" i="61"/>
  <c r="S62" i="61"/>
  <c r="R123" i="61"/>
  <c r="S61" i="61"/>
  <c r="R122" i="61"/>
  <c r="S60" i="61"/>
  <c r="R121" i="61"/>
  <c r="S59" i="61"/>
  <c r="R120" i="61"/>
  <c r="S58" i="61"/>
  <c r="R119" i="61"/>
  <c r="S57" i="61"/>
  <c r="R118" i="61"/>
  <c r="S56" i="61"/>
  <c r="R117" i="61"/>
  <c r="S55" i="61"/>
  <c r="R116" i="61"/>
  <c r="S54" i="61"/>
  <c r="R115" i="61"/>
  <c r="S53" i="61"/>
  <c r="R114" i="61"/>
  <c r="S52" i="61"/>
  <c r="R113" i="61"/>
  <c r="S51" i="61"/>
  <c r="R112" i="61"/>
  <c r="S50" i="61"/>
  <c r="R111" i="61"/>
  <c r="S49" i="61"/>
  <c r="R110" i="61"/>
  <c r="S48" i="61"/>
  <c r="R109" i="61"/>
  <c r="S47" i="61"/>
  <c r="R108" i="61"/>
  <c r="S46" i="61"/>
  <c r="R107" i="61"/>
  <c r="S45" i="61"/>
  <c r="R106" i="61"/>
  <c r="S44" i="61"/>
  <c r="R105" i="61"/>
  <c r="S43" i="61"/>
  <c r="R104" i="61"/>
  <c r="S42" i="61"/>
  <c r="R103" i="61"/>
  <c r="S41" i="61"/>
  <c r="R102" i="61"/>
  <c r="S40" i="61"/>
  <c r="R101" i="61"/>
  <c r="S39" i="61"/>
  <c r="R100" i="61"/>
  <c r="S38" i="61"/>
  <c r="R99" i="61"/>
  <c r="S37" i="61"/>
  <c r="R98" i="61"/>
  <c r="S36" i="61"/>
  <c r="R97" i="61"/>
  <c r="S35" i="61"/>
  <c r="R96" i="61"/>
  <c r="S34" i="61"/>
  <c r="R95" i="61"/>
  <c r="S33" i="61"/>
  <c r="R94" i="61"/>
  <c r="S32" i="61"/>
  <c r="R93" i="61"/>
  <c r="S31" i="61"/>
  <c r="R92" i="61"/>
  <c r="S30" i="61"/>
  <c r="R91" i="61"/>
  <c r="S29" i="61"/>
  <c r="R90" i="61"/>
  <c r="S28" i="61"/>
  <c r="R89" i="61"/>
  <c r="S27" i="61"/>
  <c r="R88" i="61"/>
  <c r="S26" i="61"/>
  <c r="R87" i="61"/>
  <c r="S25" i="61"/>
  <c r="R86" i="61"/>
  <c r="S24" i="61"/>
  <c r="R85" i="61"/>
  <c r="S23" i="61"/>
  <c r="R84" i="61"/>
  <c r="S22" i="61"/>
  <c r="R83" i="61"/>
  <c r="S21" i="61"/>
  <c r="R82" i="61"/>
  <c r="S20" i="61"/>
  <c r="R81" i="61"/>
  <c r="S19" i="61"/>
  <c r="R80" i="61"/>
  <c r="S18" i="61"/>
  <c r="R79" i="61"/>
  <c r="S17" i="61"/>
  <c r="R78" i="61"/>
  <c r="S16" i="61"/>
  <c r="R77" i="61"/>
  <c r="S15" i="61"/>
  <c r="R76" i="61"/>
  <c r="S14" i="61"/>
  <c r="G64" i="60"/>
  <c r="D64" i="60"/>
  <c r="G63" i="60"/>
  <c r="D63" i="60"/>
  <c r="G62" i="60"/>
  <c r="D62" i="60"/>
  <c r="G61" i="60"/>
  <c r="D61" i="60"/>
  <c r="G60" i="60"/>
  <c r="D60" i="60"/>
  <c r="G59" i="60"/>
  <c r="D59" i="60"/>
  <c r="G58" i="60"/>
  <c r="D58" i="60"/>
  <c r="G57" i="60"/>
  <c r="D57" i="60"/>
  <c r="G56" i="60"/>
  <c r="D56" i="60"/>
  <c r="G55" i="60"/>
  <c r="D55" i="60"/>
  <c r="G54" i="60"/>
  <c r="D54" i="60"/>
  <c r="G53" i="60"/>
  <c r="D53" i="60"/>
  <c r="G52" i="60"/>
  <c r="D52" i="60"/>
  <c r="G51" i="60"/>
  <c r="D51" i="60"/>
  <c r="G50" i="60"/>
  <c r="D50" i="60"/>
  <c r="G49" i="60"/>
  <c r="D49" i="60"/>
  <c r="G48" i="60"/>
  <c r="D48" i="60"/>
  <c r="G47" i="60"/>
  <c r="D47" i="60"/>
  <c r="G46" i="60"/>
  <c r="D46" i="60"/>
  <c r="G45" i="60"/>
  <c r="D45" i="60"/>
  <c r="G44" i="60"/>
  <c r="D44" i="60"/>
  <c r="G43" i="60"/>
  <c r="D43" i="60"/>
  <c r="D42" i="60"/>
  <c r="D41" i="60"/>
  <c r="G40" i="60"/>
  <c r="D40" i="60"/>
  <c r="G39" i="60"/>
  <c r="D39" i="60"/>
  <c r="G38" i="60"/>
  <c r="D38" i="60"/>
  <c r="G37" i="60"/>
  <c r="D37" i="60"/>
  <c r="G36" i="60"/>
  <c r="D36" i="60"/>
  <c r="G35" i="60"/>
  <c r="D35" i="60"/>
  <c r="G34" i="60"/>
  <c r="D34" i="60"/>
  <c r="G33" i="60"/>
  <c r="D33" i="60"/>
  <c r="G32" i="60"/>
  <c r="D32" i="60"/>
  <c r="G31" i="60"/>
  <c r="D31" i="60"/>
  <c r="G30" i="60"/>
  <c r="D30" i="60"/>
  <c r="G29" i="60"/>
  <c r="D29" i="60"/>
  <c r="G28" i="60"/>
  <c r="D28" i="60"/>
  <c r="G27" i="60"/>
  <c r="D27" i="60"/>
  <c r="G26" i="60"/>
  <c r="D26" i="60"/>
  <c r="G25" i="60"/>
  <c r="D25" i="60"/>
  <c r="G24" i="60"/>
  <c r="D24" i="60"/>
  <c r="G23" i="60"/>
  <c r="D23" i="60"/>
  <c r="G22" i="60"/>
  <c r="D22" i="60"/>
  <c r="G21" i="60"/>
  <c r="D21" i="60"/>
  <c r="G20" i="60"/>
  <c r="D20" i="60"/>
  <c r="G19" i="60"/>
  <c r="D19" i="60"/>
  <c r="G18" i="60"/>
  <c r="D18" i="60"/>
  <c r="G17" i="60"/>
  <c r="D17" i="60"/>
  <c r="AB63" i="99"/>
  <c r="AA63" i="99"/>
  <c r="Z63" i="99"/>
  <c r="Y63" i="99"/>
  <c r="X63" i="99"/>
  <c r="W63" i="99"/>
  <c r="V63" i="99"/>
  <c r="U63" i="99"/>
  <c r="T63" i="99"/>
  <c r="S63" i="99"/>
  <c r="R63" i="99"/>
  <c r="Q63" i="99"/>
  <c r="P63" i="99"/>
  <c r="O63" i="99"/>
  <c r="N63" i="99"/>
  <c r="M63" i="99"/>
  <c r="L63" i="99"/>
  <c r="K63" i="99"/>
  <c r="J63" i="99"/>
  <c r="I63" i="99"/>
  <c r="H63" i="99"/>
  <c r="G63" i="99"/>
  <c r="F63" i="99"/>
  <c r="E63" i="99"/>
  <c r="D63" i="99"/>
  <c r="C63" i="99"/>
  <c r="AB51" i="99"/>
  <c r="AA51" i="99"/>
  <c r="Z51" i="99"/>
  <c r="Y51" i="99"/>
  <c r="X51" i="99"/>
  <c r="W51" i="99"/>
  <c r="V51" i="99"/>
  <c r="U51" i="99"/>
  <c r="T51" i="99"/>
  <c r="S51" i="99"/>
  <c r="R51" i="99"/>
  <c r="Q51" i="99"/>
  <c r="P51" i="99"/>
  <c r="O51" i="99"/>
  <c r="N51" i="99"/>
  <c r="M51" i="99"/>
  <c r="L51" i="99"/>
  <c r="K51" i="99"/>
  <c r="J51" i="99"/>
  <c r="I51" i="99"/>
  <c r="H51" i="99"/>
  <c r="G51" i="99"/>
  <c r="F51" i="99"/>
  <c r="E51" i="99"/>
  <c r="D51" i="99"/>
  <c r="C51" i="99"/>
  <c r="B51" i="99"/>
  <c r="BD40" i="99"/>
  <c r="BC40" i="99"/>
  <c r="BB40" i="99"/>
  <c r="BA40" i="99"/>
  <c r="AZ40" i="99"/>
  <c r="AY40" i="99"/>
  <c r="AX40" i="99"/>
  <c r="AW40" i="99"/>
  <c r="AV40" i="99"/>
  <c r="AU40" i="99"/>
  <c r="AT40" i="99"/>
  <c r="AS40" i="99"/>
  <c r="AR40" i="99"/>
  <c r="AQ40" i="99"/>
  <c r="AP40" i="99"/>
  <c r="AO40" i="99"/>
  <c r="AN40" i="99"/>
  <c r="AM40" i="99"/>
  <c r="AL40" i="99"/>
  <c r="AK40" i="99"/>
  <c r="AJ40" i="99"/>
  <c r="AI40" i="99"/>
  <c r="AH40" i="99"/>
  <c r="AG40" i="99"/>
  <c r="AF40" i="99"/>
  <c r="AE40" i="99"/>
  <c r="AD40" i="99"/>
  <c r="AC40" i="99"/>
  <c r="AB40" i="99"/>
  <c r="AA40" i="99"/>
  <c r="Z40" i="99"/>
  <c r="Y40" i="99"/>
  <c r="X40" i="99"/>
  <c r="W40" i="99"/>
  <c r="V40" i="99"/>
  <c r="U40" i="99"/>
  <c r="T40" i="99"/>
  <c r="S40" i="99"/>
  <c r="R40" i="99"/>
  <c r="Q40" i="99"/>
  <c r="P40" i="99"/>
  <c r="O40" i="99"/>
  <c r="N40" i="99"/>
  <c r="M40" i="99"/>
  <c r="L40" i="99"/>
  <c r="K40" i="99"/>
  <c r="J40" i="99"/>
  <c r="I40" i="99"/>
  <c r="H40" i="99"/>
  <c r="G40" i="99"/>
  <c r="F40" i="99"/>
  <c r="E40" i="99"/>
  <c r="BD30" i="99"/>
  <c r="BC30" i="99"/>
  <c r="BB30" i="99"/>
  <c r="BA30" i="99"/>
  <c r="AZ30" i="99"/>
  <c r="AY30" i="99"/>
  <c r="AX30" i="99"/>
  <c r="AW30" i="99"/>
  <c r="AV30" i="99"/>
  <c r="AU30" i="99"/>
  <c r="AT30" i="99"/>
  <c r="AS30" i="99"/>
  <c r="AR30" i="99"/>
  <c r="AQ30" i="99"/>
  <c r="AP30" i="99"/>
  <c r="AO30" i="99"/>
  <c r="AN30" i="99"/>
  <c r="AM30" i="99"/>
  <c r="AL30" i="99"/>
  <c r="AK30" i="99"/>
  <c r="AJ30" i="99"/>
  <c r="AI30" i="99"/>
  <c r="AH30" i="99"/>
  <c r="AG30" i="99"/>
  <c r="AF30" i="99"/>
  <c r="AE30" i="99"/>
  <c r="AD30" i="99"/>
  <c r="AC30" i="99"/>
  <c r="AB30" i="99"/>
  <c r="AA30" i="99"/>
  <c r="Z30" i="99"/>
  <c r="Y30" i="99"/>
  <c r="X30" i="99"/>
  <c r="W30" i="99"/>
  <c r="V30" i="99"/>
  <c r="U30" i="99"/>
  <c r="T30" i="99"/>
  <c r="S30" i="99"/>
  <c r="R30" i="99"/>
  <c r="Q30" i="99"/>
  <c r="P30" i="99"/>
  <c r="O30" i="99"/>
  <c r="N30" i="99"/>
  <c r="M30" i="99"/>
  <c r="L30" i="99"/>
  <c r="K30" i="99"/>
  <c r="J30" i="99"/>
  <c r="I30" i="99"/>
  <c r="H30" i="99"/>
  <c r="G30" i="99"/>
  <c r="F30" i="99"/>
  <c r="E30" i="99"/>
  <c r="BD20" i="99"/>
  <c r="BD42" i="99" s="1"/>
  <c r="BD44" i="99" s="1"/>
  <c r="BC20" i="99"/>
  <c r="BC42" i="99" s="1"/>
  <c r="BC44" i="99" s="1"/>
  <c r="BB20" i="99"/>
  <c r="BB42" i="99" s="1"/>
  <c r="BB44" i="99" s="1"/>
  <c r="BA20" i="99"/>
  <c r="BA42" i="99" s="1"/>
  <c r="BA44" i="99" s="1"/>
  <c r="AZ20" i="99"/>
  <c r="AZ42" i="99" s="1"/>
  <c r="AZ44" i="99" s="1"/>
  <c r="AY20" i="99"/>
  <c r="AY42" i="99" s="1"/>
  <c r="AY44" i="99" s="1"/>
  <c r="AX20" i="99"/>
  <c r="AX42" i="99" s="1"/>
  <c r="AX44" i="99" s="1"/>
  <c r="AW20" i="99"/>
  <c r="AW42" i="99" s="1"/>
  <c r="AW44" i="99" s="1"/>
  <c r="AV20" i="99"/>
  <c r="AV42" i="99" s="1"/>
  <c r="AV44" i="99" s="1"/>
  <c r="AU20" i="99"/>
  <c r="AU42" i="99" s="1"/>
  <c r="AU44" i="99" s="1"/>
  <c r="AT20" i="99"/>
  <c r="AT42" i="99" s="1"/>
  <c r="AT44" i="99" s="1"/>
  <c r="AS20" i="99"/>
  <c r="AS42" i="99" s="1"/>
  <c r="AS44" i="99" s="1"/>
  <c r="AR20" i="99"/>
  <c r="AR42" i="99" s="1"/>
  <c r="AR44" i="99" s="1"/>
  <c r="AQ20" i="99"/>
  <c r="AQ42" i="99" s="1"/>
  <c r="AQ44" i="99" s="1"/>
  <c r="AP20" i="99"/>
  <c r="AP42" i="99" s="1"/>
  <c r="AP44" i="99" s="1"/>
  <c r="AO20" i="99"/>
  <c r="AO42" i="99" s="1"/>
  <c r="AO44" i="99" s="1"/>
  <c r="AN20" i="99"/>
  <c r="AM20" i="99"/>
  <c r="AL20" i="99"/>
  <c r="AK20" i="99"/>
  <c r="AK42" i="99" s="1"/>
  <c r="AK44" i="99" s="1"/>
  <c r="AJ20" i="99"/>
  <c r="AJ42" i="99" s="1"/>
  <c r="AJ44" i="99" s="1"/>
  <c r="AI20" i="99"/>
  <c r="AI42" i="99" s="1"/>
  <c r="AI44" i="99" s="1"/>
  <c r="AH20" i="99"/>
  <c r="AH42" i="99" s="1"/>
  <c r="AH44" i="99" s="1"/>
  <c r="AG20" i="99"/>
  <c r="AG42" i="99" s="1"/>
  <c r="AG44" i="99" s="1"/>
  <c r="AF20" i="99"/>
  <c r="AF42" i="99" s="1"/>
  <c r="AF44" i="99" s="1"/>
  <c r="AE20" i="99"/>
  <c r="AE42" i="99" s="1"/>
  <c r="AE44" i="99" s="1"/>
  <c r="AD20" i="99"/>
  <c r="AD42" i="99" s="1"/>
  <c r="AD44" i="99" s="1"/>
  <c r="AC20" i="99"/>
  <c r="AC42" i="99" s="1"/>
  <c r="AC44" i="99" s="1"/>
  <c r="AB20" i="99"/>
  <c r="AB42" i="99" s="1"/>
  <c r="AB44" i="99" s="1"/>
  <c r="AA20" i="99"/>
  <c r="AA42" i="99" s="1"/>
  <c r="AA44" i="99" s="1"/>
  <c r="Z20" i="99"/>
  <c r="Z42" i="99" s="1"/>
  <c r="Z44" i="99" s="1"/>
  <c r="Y20" i="99"/>
  <c r="Y42" i="99" s="1"/>
  <c r="Y44" i="99" s="1"/>
  <c r="X20" i="99"/>
  <c r="X42" i="99" s="1"/>
  <c r="X44" i="99" s="1"/>
  <c r="W20" i="99"/>
  <c r="W42" i="99" s="1"/>
  <c r="W44" i="99" s="1"/>
  <c r="V20" i="99"/>
  <c r="V42" i="99" s="1"/>
  <c r="V44" i="99" s="1"/>
  <c r="U20" i="99"/>
  <c r="U42" i="99" s="1"/>
  <c r="U44" i="99" s="1"/>
  <c r="T20" i="99"/>
  <c r="T42" i="99" s="1"/>
  <c r="T44" i="99" s="1"/>
  <c r="S20" i="99"/>
  <c r="S42" i="99" s="1"/>
  <c r="S44" i="99" s="1"/>
  <c r="R20" i="99"/>
  <c r="R42" i="99" s="1"/>
  <c r="R44" i="99" s="1"/>
  <c r="Q20" i="99"/>
  <c r="Q42" i="99" s="1"/>
  <c r="Q44" i="99" s="1"/>
  <c r="P20" i="99"/>
  <c r="P42" i="99" s="1"/>
  <c r="P44" i="99" s="1"/>
  <c r="O20" i="99"/>
  <c r="O42" i="99" s="1"/>
  <c r="O44" i="99" s="1"/>
  <c r="N20" i="99"/>
  <c r="N42" i="99" s="1"/>
  <c r="N44" i="99" s="1"/>
  <c r="M20" i="99"/>
  <c r="M42" i="99" s="1"/>
  <c r="M44" i="99" s="1"/>
  <c r="L20" i="99"/>
  <c r="L42" i="99" s="1"/>
  <c r="L44" i="99" s="1"/>
  <c r="K20" i="99"/>
  <c r="K42" i="99" s="1"/>
  <c r="K44" i="99" s="1"/>
  <c r="J20" i="99"/>
  <c r="J42" i="99" s="1"/>
  <c r="J44" i="99" s="1"/>
  <c r="I20" i="99"/>
  <c r="I42" i="99" s="1"/>
  <c r="I44" i="99" s="1"/>
  <c r="H20" i="99"/>
  <c r="H42" i="99" s="1"/>
  <c r="H44" i="99" s="1"/>
  <c r="G20" i="99"/>
  <c r="G42" i="99" s="1"/>
  <c r="G44" i="99" s="1"/>
  <c r="F20" i="99"/>
  <c r="F42" i="99" s="1"/>
  <c r="F44" i="99" s="1"/>
  <c r="E20" i="99"/>
  <c r="E42" i="99" s="1"/>
  <c r="E44" i="99" s="1"/>
  <c r="B100" i="79"/>
  <c r="B86" i="79"/>
  <c r="B85" i="79"/>
  <c r="B84" i="79"/>
  <c r="B83" i="79"/>
  <c r="B79" i="79"/>
  <c r="B78" i="79"/>
  <c r="B77" i="79"/>
  <c r="B76" i="79"/>
  <c r="B75" i="79"/>
  <c r="B74" i="79"/>
  <c r="B73" i="79"/>
  <c r="B72" i="79"/>
  <c r="B71" i="79"/>
  <c r="B70" i="79"/>
  <c r="B69" i="79"/>
  <c r="B68" i="79"/>
  <c r="B67" i="79"/>
  <c r="B66" i="79"/>
  <c r="B65" i="79"/>
  <c r="B64" i="79"/>
  <c r="B63" i="79"/>
  <c r="B62" i="79"/>
  <c r="B61" i="79"/>
  <c r="B60" i="79"/>
  <c r="B59" i="79"/>
  <c r="B58" i="79"/>
  <c r="B57" i="79"/>
  <c r="B56" i="79"/>
  <c r="B55" i="79"/>
  <c r="O128" i="81"/>
  <c r="O129" i="81" s="1"/>
  <c r="N128" i="81"/>
  <c r="N129" i="81" s="1"/>
  <c r="M128" i="81"/>
  <c r="M129" i="81" s="1"/>
  <c r="L128" i="81"/>
  <c r="L129" i="81" s="1"/>
  <c r="K128" i="81"/>
  <c r="K129" i="81" s="1"/>
  <c r="J128" i="81"/>
  <c r="J129" i="81" s="1"/>
  <c r="I128" i="81"/>
  <c r="I129" i="81" s="1"/>
  <c r="H128" i="81"/>
  <c r="H129" i="81" s="1"/>
  <c r="G128" i="81"/>
  <c r="G129" i="81" s="1"/>
  <c r="F128" i="81"/>
  <c r="F129" i="81" s="1"/>
  <c r="E128" i="81"/>
  <c r="E129" i="81" s="1"/>
  <c r="D128" i="81"/>
  <c r="D129" i="81" s="1"/>
  <c r="O118" i="81"/>
  <c r="O119" i="81" s="1"/>
  <c r="N118" i="81"/>
  <c r="N119" i="81" s="1"/>
  <c r="M118" i="81"/>
  <c r="M119" i="81" s="1"/>
  <c r="L118" i="81"/>
  <c r="L119" i="81" s="1"/>
  <c r="K118" i="81"/>
  <c r="K119" i="81" s="1"/>
  <c r="J118" i="81"/>
  <c r="J119" i="81" s="1"/>
  <c r="I118" i="81"/>
  <c r="I119" i="81" s="1"/>
  <c r="H118" i="81"/>
  <c r="H119" i="81" s="1"/>
  <c r="G118" i="81"/>
  <c r="G119" i="81" s="1"/>
  <c r="F118" i="81"/>
  <c r="F119" i="81" s="1"/>
  <c r="E118" i="81"/>
  <c r="E119" i="81" s="1"/>
  <c r="D115" i="81"/>
  <c r="D118" i="81" s="1"/>
  <c r="D119" i="81" s="1"/>
  <c r="O109" i="81"/>
  <c r="O110" i="81" s="1"/>
  <c r="C29" i="81" s="1"/>
  <c r="D29" i="81" s="1"/>
  <c r="N109" i="81"/>
  <c r="N110" i="81" s="1"/>
  <c r="C28" i="81" s="1"/>
  <c r="D28" i="81" s="1"/>
  <c r="M109" i="81"/>
  <c r="M110" i="81" s="1"/>
  <c r="C27" i="81" s="1"/>
  <c r="D27" i="81" s="1"/>
  <c r="L109" i="81"/>
  <c r="L110" i="81" s="1"/>
  <c r="C26" i="81" s="1"/>
  <c r="D26" i="81" s="1"/>
  <c r="K109" i="81"/>
  <c r="K110" i="81" s="1"/>
  <c r="C25" i="81" s="1"/>
  <c r="D25" i="81" s="1"/>
  <c r="J109" i="81"/>
  <c r="J110" i="81" s="1"/>
  <c r="C24" i="81" s="1"/>
  <c r="D24" i="81" s="1"/>
  <c r="I109" i="81"/>
  <c r="I110" i="81" s="1"/>
  <c r="C23" i="81" s="1"/>
  <c r="D23" i="81" s="1"/>
  <c r="H109" i="81"/>
  <c r="H110" i="81" s="1"/>
  <c r="C22" i="81" s="1"/>
  <c r="D22" i="81" s="1"/>
  <c r="G109" i="81"/>
  <c r="G110" i="81" s="1"/>
  <c r="C21" i="81" s="1"/>
  <c r="D21" i="81" s="1"/>
  <c r="F109" i="81"/>
  <c r="F110" i="81" s="1"/>
  <c r="C20" i="81" s="1"/>
  <c r="D20" i="81" s="1"/>
  <c r="E109" i="81"/>
  <c r="E110" i="81" s="1"/>
  <c r="C19" i="81" s="1"/>
  <c r="D19" i="81" s="1"/>
  <c r="D109" i="81"/>
  <c r="D110" i="81" s="1"/>
  <c r="C18" i="81" s="1"/>
  <c r="D18" i="81" s="1"/>
  <c r="O98" i="81"/>
  <c r="O99" i="81" s="1"/>
  <c r="C65" i="81" s="1"/>
  <c r="N98" i="81"/>
  <c r="N99" i="81" s="1"/>
  <c r="M98" i="81"/>
  <c r="M99" i="81" s="1"/>
  <c r="L98" i="81"/>
  <c r="L99" i="81" s="1"/>
  <c r="K98" i="81"/>
  <c r="K99" i="81" s="1"/>
  <c r="J98" i="81"/>
  <c r="J99" i="81" s="1"/>
  <c r="I98" i="81"/>
  <c r="I99" i="81" s="1"/>
  <c r="H98" i="81"/>
  <c r="H99" i="81" s="1"/>
  <c r="G98" i="81"/>
  <c r="G99" i="81" s="1"/>
  <c r="F98" i="81"/>
  <c r="F99" i="81" s="1"/>
  <c r="E98" i="81"/>
  <c r="E99" i="81" s="1"/>
  <c r="D98" i="81"/>
  <c r="D99" i="81" s="1"/>
  <c r="O87" i="81"/>
  <c r="N87" i="81"/>
  <c r="M87" i="81"/>
  <c r="L87" i="81"/>
  <c r="K87" i="81"/>
  <c r="K88" i="81" s="1"/>
  <c r="J87" i="81"/>
  <c r="J88" i="81" s="1"/>
  <c r="I87" i="81"/>
  <c r="I88" i="81" s="1"/>
  <c r="C71" i="81" s="1"/>
  <c r="H87" i="81"/>
  <c r="H88" i="81" s="1"/>
  <c r="C70" i="81" s="1"/>
  <c r="G87" i="81"/>
  <c r="F87" i="81"/>
  <c r="E87" i="81"/>
  <c r="D87" i="81"/>
  <c r="G81" i="81"/>
  <c r="F81" i="81"/>
  <c r="F88" i="81" s="1"/>
  <c r="C68" i="81" s="1"/>
  <c r="E81" i="81"/>
  <c r="E88" i="81" s="1"/>
  <c r="C67" i="81" s="1"/>
  <c r="D81" i="81"/>
  <c r="D88" i="81" s="1"/>
  <c r="C66" i="81" s="1"/>
  <c r="D43" i="81"/>
  <c r="D42" i="81"/>
  <c r="R41" i="81"/>
  <c r="D41" i="81"/>
  <c r="R40" i="81"/>
  <c r="D40" i="81"/>
  <c r="R39" i="81"/>
  <c r="D39" i="81"/>
  <c r="R38" i="81"/>
  <c r="D38" i="81"/>
  <c r="R37" i="81"/>
  <c r="D37" i="81"/>
  <c r="R36" i="81"/>
  <c r="D36" i="81"/>
  <c r="R35" i="81"/>
  <c r="D35" i="81"/>
  <c r="R34" i="81"/>
  <c r="D34" i="81"/>
  <c r="R33" i="81"/>
  <c r="D33" i="81"/>
  <c r="R32" i="81"/>
  <c r="D32" i="81"/>
  <c r="R31" i="81"/>
  <c r="D31" i="81"/>
  <c r="R30" i="81"/>
  <c r="D30" i="81"/>
  <c r="I96" i="78"/>
  <c r="I95" i="78"/>
  <c r="I94" i="78"/>
  <c r="I93" i="78"/>
  <c r="I92" i="78"/>
  <c r="G92" i="78"/>
  <c r="I91" i="78"/>
  <c r="G91" i="78"/>
  <c r="I90" i="78"/>
  <c r="G90" i="78"/>
  <c r="I89" i="78"/>
  <c r="G89" i="78"/>
  <c r="I88" i="78"/>
  <c r="G88" i="78"/>
  <c r="I87" i="78"/>
  <c r="G87" i="78"/>
  <c r="I86" i="78"/>
  <c r="G86" i="78"/>
  <c r="I85" i="78"/>
  <c r="G85" i="78"/>
  <c r="I84" i="78"/>
  <c r="G84" i="78"/>
  <c r="I83" i="78"/>
  <c r="G83" i="78"/>
  <c r="I82" i="78"/>
  <c r="I81" i="78"/>
  <c r="I80" i="78"/>
  <c r="I79" i="78"/>
  <c r="I78" i="78"/>
  <c r="I77" i="78"/>
  <c r="G77" i="78"/>
  <c r="I76" i="78"/>
  <c r="G76" i="78"/>
  <c r="I75" i="78"/>
  <c r="G75" i="78"/>
  <c r="I74" i="78"/>
  <c r="G74" i="78"/>
  <c r="I73" i="78"/>
  <c r="G73" i="78"/>
  <c r="I72" i="78"/>
  <c r="G72" i="78"/>
  <c r="I71" i="78"/>
  <c r="G71" i="78"/>
  <c r="I70" i="78"/>
  <c r="G70" i="78"/>
  <c r="I69" i="78"/>
  <c r="G69" i="78"/>
  <c r="I68" i="78"/>
  <c r="G68" i="78"/>
  <c r="I67" i="78"/>
  <c r="G67" i="78"/>
  <c r="I66" i="78"/>
  <c r="G66" i="78"/>
  <c r="I65" i="78"/>
  <c r="G65" i="78"/>
  <c r="I64" i="78"/>
  <c r="G64" i="78"/>
  <c r="I63" i="78"/>
  <c r="G63" i="78"/>
  <c r="I62" i="78"/>
  <c r="G62" i="78"/>
  <c r="I61" i="78"/>
  <c r="G61" i="78"/>
  <c r="I60" i="78"/>
  <c r="G60" i="78"/>
  <c r="I59" i="78"/>
  <c r="G59" i="78"/>
  <c r="I58" i="78"/>
  <c r="G58" i="78"/>
  <c r="I57" i="78"/>
  <c r="G57" i="78"/>
  <c r="I56" i="78"/>
  <c r="G56" i="78"/>
  <c r="I55" i="78"/>
  <c r="G55" i="78"/>
  <c r="I54" i="78"/>
  <c r="G54" i="78"/>
  <c r="I53" i="78"/>
  <c r="G53" i="78"/>
  <c r="I52" i="78"/>
  <c r="G52" i="78"/>
  <c r="I51" i="78"/>
  <c r="G51" i="78"/>
  <c r="I50" i="78"/>
  <c r="G50" i="78"/>
  <c r="I49" i="78"/>
  <c r="G49" i="78"/>
  <c r="I48" i="78"/>
  <c r="G48" i="78"/>
  <c r="I47" i="78"/>
  <c r="G47" i="78"/>
  <c r="I46" i="78"/>
  <c r="G46" i="78"/>
  <c r="I45" i="78"/>
  <c r="G45" i="78"/>
  <c r="I44" i="78"/>
  <c r="G44" i="78"/>
  <c r="I43" i="78"/>
  <c r="G43" i="78"/>
  <c r="I42" i="78"/>
  <c r="G42" i="78"/>
  <c r="I41" i="78"/>
  <c r="G41" i="78"/>
  <c r="I40" i="78"/>
  <c r="G40" i="78"/>
  <c r="I39" i="78"/>
  <c r="G39" i="78"/>
  <c r="I38" i="78"/>
  <c r="G38" i="78"/>
  <c r="I37" i="78"/>
  <c r="G37" i="78"/>
  <c r="I36" i="78"/>
  <c r="G36" i="78"/>
  <c r="I35" i="78"/>
  <c r="G35" i="78"/>
  <c r="I34" i="78"/>
  <c r="G34" i="78"/>
  <c r="I33" i="78"/>
  <c r="G33" i="78"/>
  <c r="I32" i="78"/>
  <c r="G32" i="78"/>
  <c r="I31" i="78"/>
  <c r="G31" i="78"/>
  <c r="I30" i="78"/>
  <c r="G30" i="78"/>
  <c r="I29" i="78"/>
  <c r="G29" i="78"/>
  <c r="I28" i="78"/>
  <c r="G28" i="78"/>
  <c r="I27" i="78"/>
  <c r="G27" i="78"/>
  <c r="I26" i="78"/>
  <c r="G26" i="78"/>
  <c r="I25" i="78"/>
  <c r="G25" i="78"/>
  <c r="I24" i="78"/>
  <c r="G24" i="78"/>
  <c r="I23" i="78"/>
  <c r="G23" i="78"/>
  <c r="I22" i="78"/>
  <c r="G22" i="78"/>
  <c r="I21" i="78"/>
  <c r="G21" i="78"/>
  <c r="I20" i="78"/>
  <c r="G20" i="78"/>
  <c r="I19" i="78"/>
  <c r="G19" i="78"/>
  <c r="I18" i="78"/>
  <c r="G18" i="78"/>
  <c r="I17" i="78"/>
  <c r="G17" i="78"/>
  <c r="I16" i="78"/>
  <c r="G16" i="78"/>
  <c r="I15" i="78"/>
  <c r="G15" i="78"/>
  <c r="I14" i="78"/>
  <c r="G14" i="78"/>
  <c r="I13" i="78"/>
  <c r="G13" i="78"/>
  <c r="I12" i="78"/>
  <c r="G12" i="78"/>
  <c r="E106" i="77"/>
  <c r="E105" i="77"/>
  <c r="E104" i="77"/>
  <c r="E103" i="77"/>
  <c r="E96" i="77"/>
  <c r="E95" i="77"/>
  <c r="E94" i="77"/>
  <c r="E93" i="77"/>
  <c r="E92" i="77"/>
  <c r="E91" i="77"/>
  <c r="F91" i="77" s="1"/>
  <c r="D90" i="77"/>
  <c r="C90" i="77"/>
  <c r="B90" i="77"/>
  <c r="D89" i="77"/>
  <c r="C89" i="77"/>
  <c r="B89" i="77"/>
  <c r="E88" i="77"/>
  <c r="E87" i="77"/>
  <c r="E86" i="77"/>
  <c r="E85" i="77"/>
  <c r="E84" i="77"/>
  <c r="E83" i="77"/>
  <c r="E82" i="77"/>
  <c r="E81" i="77"/>
  <c r="E80" i="77"/>
  <c r="E79" i="77"/>
  <c r="E78" i="77"/>
  <c r="E77" i="77"/>
  <c r="F77" i="77" s="1"/>
  <c r="F78" i="77" s="1"/>
  <c r="D76" i="77"/>
  <c r="C76" i="77"/>
  <c r="B76" i="77"/>
  <c r="E75" i="77"/>
  <c r="E74" i="77"/>
  <c r="E73" i="77"/>
  <c r="E72" i="77"/>
  <c r="E71" i="77"/>
  <c r="E70" i="77"/>
  <c r="E69" i="77"/>
  <c r="E68" i="77"/>
  <c r="E67" i="77"/>
  <c r="E66" i="77"/>
  <c r="E65" i="77"/>
  <c r="E64" i="77"/>
  <c r="F64" i="77" s="1"/>
  <c r="D63" i="77"/>
  <c r="C63" i="77"/>
  <c r="B63" i="77"/>
  <c r="E62" i="77"/>
  <c r="E61" i="77"/>
  <c r="E60" i="77"/>
  <c r="E59" i="77"/>
  <c r="E58" i="77"/>
  <c r="E57" i="77"/>
  <c r="E56" i="77"/>
  <c r="E55" i="77"/>
  <c r="E54" i="77"/>
  <c r="E53" i="77"/>
  <c r="E52" i="77"/>
  <c r="E51" i="77"/>
  <c r="E50" i="77"/>
  <c r="D50" i="77"/>
  <c r="C50" i="77"/>
  <c r="B50" i="77"/>
  <c r="F49" i="77"/>
  <c r="F48" i="77"/>
  <c r="F47" i="77"/>
  <c r="F46" i="77"/>
  <c r="F45" i="77"/>
  <c r="F44" i="77"/>
  <c r="F43" i="77"/>
  <c r="F42" i="77"/>
  <c r="F41" i="77"/>
  <c r="F40" i="77"/>
  <c r="F39" i="77"/>
  <c r="F38" i="77"/>
  <c r="E37" i="77"/>
  <c r="D37" i="77"/>
  <c r="C37" i="77"/>
  <c r="B37" i="77"/>
  <c r="F36" i="77"/>
  <c r="F35" i="77"/>
  <c r="F34" i="77"/>
  <c r="F33" i="77"/>
  <c r="F32" i="77"/>
  <c r="F31" i="77"/>
  <c r="F30" i="77"/>
  <c r="F29" i="77"/>
  <c r="F28" i="77"/>
  <c r="F27" i="77"/>
  <c r="F26" i="77"/>
  <c r="F25" i="77"/>
  <c r="D24" i="77"/>
  <c r="C24" i="77"/>
  <c r="B24" i="77"/>
  <c r="E23" i="77"/>
  <c r="E22" i="77"/>
  <c r="E21" i="77"/>
  <c r="E20" i="77"/>
  <c r="F19" i="77"/>
  <c r="E19" i="77"/>
  <c r="E18" i="77"/>
  <c r="F21" i="77" s="1"/>
  <c r="F17" i="77"/>
  <c r="F16" i="77"/>
  <c r="F15" i="77"/>
  <c r="F14" i="77"/>
  <c r="F13" i="77"/>
  <c r="F12" i="77"/>
  <c r="Q129" i="106"/>
  <c r="P129" i="106"/>
  <c r="O129" i="106"/>
  <c r="N129" i="106"/>
  <c r="M129" i="106"/>
  <c r="L129" i="106"/>
  <c r="K129" i="106"/>
  <c r="J129" i="106"/>
  <c r="I129" i="106"/>
  <c r="H129" i="106"/>
  <c r="G129" i="106"/>
  <c r="F129" i="106"/>
  <c r="H120" i="106"/>
  <c r="H121" i="106" s="1"/>
  <c r="G120" i="106"/>
  <c r="G121" i="106" s="1"/>
  <c r="F120" i="106"/>
  <c r="F121" i="106" s="1"/>
  <c r="E120" i="106"/>
  <c r="E121" i="106" s="1"/>
  <c r="P114" i="106"/>
  <c r="O114" i="106"/>
  <c r="N114" i="106"/>
  <c r="M114" i="106"/>
  <c r="L114" i="106"/>
  <c r="K114" i="106"/>
  <c r="J114" i="106"/>
  <c r="I114" i="106"/>
  <c r="H114" i="106"/>
  <c r="G114" i="106"/>
  <c r="F114" i="106"/>
  <c r="E114" i="106"/>
  <c r="J113" i="106"/>
  <c r="P107" i="106"/>
  <c r="O107" i="106"/>
  <c r="N107" i="106"/>
  <c r="M107" i="106"/>
  <c r="L107" i="106"/>
  <c r="K107" i="106"/>
  <c r="J107" i="106"/>
  <c r="I107" i="106"/>
  <c r="H107" i="106"/>
  <c r="G107" i="106"/>
  <c r="F107" i="106"/>
  <c r="E107" i="106"/>
  <c r="P100" i="106"/>
  <c r="O100" i="106"/>
  <c r="N100" i="106"/>
  <c r="M100" i="106"/>
  <c r="L100" i="106"/>
  <c r="K100" i="106"/>
  <c r="J100" i="106"/>
  <c r="I100" i="106"/>
  <c r="H100" i="106"/>
  <c r="G100" i="106"/>
  <c r="F100" i="106"/>
  <c r="E100" i="106"/>
  <c r="E80" i="106"/>
  <c r="E79" i="106"/>
  <c r="E78" i="106"/>
  <c r="E77" i="106"/>
  <c r="E76" i="106"/>
  <c r="E75" i="106"/>
  <c r="E74" i="106"/>
  <c r="E73" i="106"/>
  <c r="E72" i="106"/>
  <c r="E71" i="106"/>
  <c r="E70" i="106"/>
  <c r="E69" i="106"/>
  <c r="E68" i="106"/>
  <c r="E67" i="106"/>
  <c r="E66" i="106"/>
  <c r="E65" i="106"/>
  <c r="E64" i="106"/>
  <c r="E63" i="106"/>
  <c r="E62" i="106"/>
  <c r="E61" i="106"/>
  <c r="E60" i="106"/>
  <c r="E59" i="106"/>
  <c r="E58" i="106"/>
  <c r="E57" i="106"/>
  <c r="E56" i="106"/>
  <c r="E55" i="106"/>
  <c r="E54" i="106"/>
  <c r="E53" i="106"/>
  <c r="E52" i="106"/>
  <c r="E51" i="106"/>
  <c r="E50" i="106"/>
  <c r="E49" i="106"/>
  <c r="E48" i="106"/>
  <c r="E47" i="106"/>
  <c r="E46" i="106"/>
  <c r="E45" i="106"/>
  <c r="E44" i="106"/>
  <c r="E43" i="106"/>
  <c r="E42"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G76" i="76"/>
  <c r="G75" i="76"/>
  <c r="D75" i="76"/>
  <c r="G74" i="76"/>
  <c r="D74" i="76"/>
  <c r="G73" i="76"/>
  <c r="D73" i="76"/>
  <c r="G72" i="76"/>
  <c r="D72" i="76"/>
  <c r="G71" i="76"/>
  <c r="D71" i="76"/>
  <c r="G70" i="76"/>
  <c r="D70" i="76"/>
  <c r="G69" i="76"/>
  <c r="D69" i="76"/>
  <c r="G68" i="76"/>
  <c r="D68" i="76"/>
  <c r="G67" i="76"/>
  <c r="D67" i="76"/>
  <c r="G66" i="76"/>
  <c r="D66" i="76"/>
  <c r="G65" i="76"/>
  <c r="D65" i="76"/>
  <c r="G64" i="76"/>
  <c r="D64" i="76"/>
  <c r="G63" i="76"/>
  <c r="D63" i="76"/>
  <c r="G62" i="76"/>
  <c r="G61" i="76"/>
  <c r="G60" i="76"/>
  <c r="G59" i="76"/>
  <c r="G58" i="76"/>
  <c r="G57" i="76"/>
  <c r="D57" i="76"/>
  <c r="G56" i="76"/>
  <c r="D56" i="76"/>
  <c r="G55" i="76"/>
  <c r="D55" i="76"/>
  <c r="G54" i="76"/>
  <c r="D54" i="76"/>
  <c r="G53" i="76"/>
  <c r="D53" i="76"/>
  <c r="G52" i="76"/>
  <c r="D52" i="76"/>
  <c r="G51" i="76"/>
  <c r="D51" i="76"/>
  <c r="G50" i="76"/>
  <c r="D50" i="76"/>
  <c r="G49" i="76"/>
  <c r="D49" i="76"/>
  <c r="G48" i="76"/>
  <c r="D48" i="76"/>
  <c r="G47" i="76"/>
  <c r="D47" i="76"/>
  <c r="G46" i="76"/>
  <c r="D46" i="76"/>
  <c r="G45" i="76"/>
  <c r="D45" i="76"/>
  <c r="G44" i="76"/>
  <c r="D44" i="76"/>
  <c r="G43" i="76"/>
  <c r="D43" i="76"/>
  <c r="G42" i="76"/>
  <c r="D42" i="76"/>
  <c r="G41" i="76"/>
  <c r="D41" i="76"/>
  <c r="G40" i="76"/>
  <c r="D40" i="76"/>
  <c r="G39" i="76"/>
  <c r="D39" i="76"/>
  <c r="G38" i="76"/>
  <c r="D38" i="76"/>
  <c r="G37" i="76"/>
  <c r="D37" i="76"/>
  <c r="G36" i="76"/>
  <c r="D36" i="76"/>
  <c r="G35" i="76"/>
  <c r="D35" i="76"/>
  <c r="G34" i="76"/>
  <c r="D34" i="76"/>
  <c r="G33" i="76"/>
  <c r="D33" i="76"/>
  <c r="G32" i="76"/>
  <c r="D32" i="76"/>
  <c r="G31" i="76"/>
  <c r="D31" i="76"/>
  <c r="G30" i="76"/>
  <c r="D30" i="76"/>
  <c r="G29" i="76"/>
  <c r="D29" i="76"/>
  <c r="G28" i="76"/>
  <c r="D28" i="76"/>
  <c r="G27" i="76"/>
  <c r="D27" i="76"/>
  <c r="O26" i="76"/>
  <c r="G26" i="76"/>
  <c r="D26" i="76"/>
  <c r="O25" i="76"/>
  <c r="G25" i="76"/>
  <c r="D25" i="76"/>
  <c r="O24" i="76"/>
  <c r="G24" i="76"/>
  <c r="D24" i="76"/>
  <c r="O23" i="76"/>
  <c r="G23" i="76"/>
  <c r="D23" i="76"/>
  <c r="O22" i="76"/>
  <c r="G22" i="76"/>
  <c r="D22" i="76"/>
  <c r="O21" i="76"/>
  <c r="G21" i="76"/>
  <c r="D21" i="76"/>
  <c r="O20" i="76"/>
  <c r="G20" i="76"/>
  <c r="D20" i="76"/>
  <c r="O19" i="76"/>
  <c r="G19" i="76"/>
  <c r="D19" i="76"/>
  <c r="O18" i="76"/>
  <c r="G18" i="76"/>
  <c r="D18" i="76"/>
  <c r="O17" i="76"/>
  <c r="G17" i="76"/>
  <c r="D17" i="76"/>
  <c r="O16" i="76"/>
  <c r="G16" i="76"/>
  <c r="D16" i="76"/>
  <c r="O15" i="76"/>
  <c r="G15" i="76"/>
  <c r="D15" i="76"/>
  <c r="O14" i="76"/>
  <c r="G14" i="76"/>
  <c r="D14" i="76"/>
  <c r="O13" i="76"/>
  <c r="G13" i="76"/>
  <c r="D13" i="76"/>
  <c r="O12" i="76"/>
  <c r="G99" i="75"/>
  <c r="F98" i="75"/>
  <c r="E98" i="75"/>
  <c r="G97" i="75"/>
  <c r="D97" i="75"/>
  <c r="G96" i="75"/>
  <c r="D96" i="75"/>
  <c r="F95" i="75"/>
  <c r="E95" i="75"/>
  <c r="G94" i="75"/>
  <c r="D94" i="75"/>
  <c r="F93" i="75"/>
  <c r="E93" i="75"/>
  <c r="B93" i="75" s="1"/>
  <c r="G92" i="75"/>
  <c r="D92" i="75"/>
  <c r="G91" i="75"/>
  <c r="D91" i="75"/>
  <c r="G90" i="75"/>
  <c r="D90" i="75"/>
  <c r="G89" i="75"/>
  <c r="D89" i="75"/>
  <c r="G88" i="75"/>
  <c r="D88" i="75"/>
  <c r="G87" i="75"/>
  <c r="D87" i="75"/>
  <c r="G86" i="75"/>
  <c r="D86" i="75"/>
  <c r="G85" i="75"/>
  <c r="D85" i="75"/>
  <c r="G84" i="75"/>
  <c r="D84" i="75"/>
  <c r="G83" i="75"/>
  <c r="D83" i="75"/>
  <c r="G82" i="75"/>
  <c r="D82" i="75"/>
  <c r="G81" i="75"/>
  <c r="D81" i="75"/>
  <c r="G80" i="75"/>
  <c r="D80" i="75"/>
  <c r="G79" i="75"/>
  <c r="D79" i="75"/>
  <c r="G78" i="75"/>
  <c r="D78" i="75"/>
  <c r="G77" i="75"/>
  <c r="D77" i="75"/>
  <c r="G76" i="75"/>
  <c r="D76" i="75"/>
  <c r="G75" i="75"/>
  <c r="D75" i="75"/>
  <c r="G74" i="75"/>
  <c r="D74" i="75"/>
  <c r="G73" i="75"/>
  <c r="D73" i="75"/>
  <c r="G72" i="75"/>
  <c r="D72" i="75"/>
  <c r="G71" i="75"/>
  <c r="D71" i="75"/>
  <c r="G70" i="75"/>
  <c r="D70" i="75"/>
  <c r="G69" i="75"/>
  <c r="D69" i="75"/>
  <c r="G68" i="75"/>
  <c r="D68" i="75"/>
  <c r="G67" i="75"/>
  <c r="D67" i="75"/>
  <c r="G66" i="75"/>
  <c r="D66" i="75"/>
  <c r="G65" i="75"/>
  <c r="D65" i="75"/>
  <c r="G64" i="75"/>
  <c r="C64" i="75"/>
  <c r="D64" i="75" s="1"/>
  <c r="B64" i="75"/>
  <c r="G63" i="75"/>
  <c r="C63" i="75"/>
  <c r="B63" i="75"/>
  <c r="G62" i="75"/>
  <c r="C62" i="75"/>
  <c r="B62" i="75"/>
  <c r="D62" i="75" s="1"/>
  <c r="G61" i="75"/>
  <c r="C61" i="75"/>
  <c r="B61" i="75"/>
  <c r="D61" i="75" s="1"/>
  <c r="G60" i="75"/>
  <c r="C60" i="75"/>
  <c r="B60" i="75"/>
  <c r="G59" i="75"/>
  <c r="C59" i="75"/>
  <c r="B59" i="75"/>
  <c r="G58" i="75"/>
  <c r="C58" i="75"/>
  <c r="B58" i="75"/>
  <c r="G57" i="75"/>
  <c r="C57" i="75"/>
  <c r="B57" i="75"/>
  <c r="G56" i="75"/>
  <c r="C56" i="75"/>
  <c r="B56" i="75"/>
  <c r="G55" i="75"/>
  <c r="C55" i="75"/>
  <c r="B55" i="75"/>
  <c r="G54" i="75"/>
  <c r="C54" i="75"/>
  <c r="B54" i="75"/>
  <c r="G53" i="75"/>
  <c r="C53" i="75"/>
  <c r="B53" i="75"/>
  <c r="G52" i="75"/>
  <c r="C52" i="75"/>
  <c r="B52" i="75"/>
  <c r="G51" i="75"/>
  <c r="C51" i="75"/>
  <c r="B51" i="75"/>
  <c r="G50" i="75"/>
  <c r="C50" i="75"/>
  <c r="B50" i="75"/>
  <c r="G49" i="75"/>
  <c r="C49" i="75"/>
  <c r="D49" i="75" s="1"/>
  <c r="B49" i="75"/>
  <c r="G48" i="75"/>
  <c r="C48" i="75"/>
  <c r="D48" i="75" s="1"/>
  <c r="B48" i="75"/>
  <c r="G47" i="75"/>
  <c r="C47" i="75"/>
  <c r="D47" i="75" s="1"/>
  <c r="B47" i="75"/>
  <c r="G46" i="75"/>
  <c r="D46" i="75"/>
  <c r="G45" i="75"/>
  <c r="D45" i="75"/>
  <c r="G44" i="75"/>
  <c r="D44" i="75"/>
  <c r="G43" i="75"/>
  <c r="D43" i="75"/>
  <c r="G42" i="75"/>
  <c r="D42" i="75"/>
  <c r="G41" i="75"/>
  <c r="D41" i="75"/>
  <c r="G40" i="75"/>
  <c r="D40" i="75"/>
  <c r="G39" i="75"/>
  <c r="D39" i="75"/>
  <c r="G38" i="75"/>
  <c r="D38" i="75"/>
  <c r="G37" i="75"/>
  <c r="D37" i="75"/>
  <c r="G36" i="75"/>
  <c r="D36" i="75"/>
  <c r="G35" i="75"/>
  <c r="D35" i="75"/>
  <c r="G34" i="75"/>
  <c r="D34" i="75"/>
  <c r="G33" i="75"/>
  <c r="D33" i="75"/>
  <c r="G32" i="75"/>
  <c r="D32" i="75"/>
  <c r="G31" i="75"/>
  <c r="D31" i="75"/>
  <c r="G30" i="75"/>
  <c r="D30" i="75"/>
  <c r="G29" i="75"/>
  <c r="D29" i="75"/>
  <c r="G28" i="75"/>
  <c r="D28" i="75"/>
  <c r="G27" i="75"/>
  <c r="D27" i="75"/>
  <c r="G26" i="75"/>
  <c r="D26" i="75"/>
  <c r="G25" i="75"/>
  <c r="D25" i="75"/>
  <c r="G24" i="75"/>
  <c r="D24" i="75"/>
  <c r="G23" i="75"/>
  <c r="D23" i="75"/>
  <c r="G22" i="75"/>
  <c r="D22" i="75"/>
  <c r="G21" i="75"/>
  <c r="D21" i="75"/>
  <c r="G20" i="75"/>
  <c r="D20" i="75"/>
  <c r="G19" i="75"/>
  <c r="D19" i="75"/>
  <c r="G18" i="75"/>
  <c r="D18" i="75"/>
  <c r="G17" i="75"/>
  <c r="D17" i="75"/>
  <c r="G16" i="75"/>
  <c r="D16" i="75"/>
  <c r="G15" i="75"/>
  <c r="D15" i="75"/>
  <c r="G14" i="75"/>
  <c r="D14" i="75"/>
  <c r="G13" i="75"/>
  <c r="D13" i="75"/>
  <c r="G12" i="75"/>
  <c r="D12" i="75"/>
  <c r="D98" i="74"/>
  <c r="C97" i="74"/>
  <c r="B97" i="74"/>
  <c r="C96" i="74"/>
  <c r="B96" i="74"/>
  <c r="C95" i="74"/>
  <c r="B95" i="74"/>
  <c r="C94" i="74"/>
  <c r="B94" i="74"/>
  <c r="C93" i="74"/>
  <c r="B93" i="74"/>
  <c r="C92" i="74"/>
  <c r="B92" i="74"/>
  <c r="C91" i="74"/>
  <c r="B91" i="74"/>
  <c r="C90" i="74"/>
  <c r="B90" i="74"/>
  <c r="D90" i="74" s="1"/>
  <c r="C89" i="74"/>
  <c r="B89" i="74"/>
  <c r="C88" i="74"/>
  <c r="B88" i="74"/>
  <c r="D88" i="74" s="1"/>
  <c r="C87" i="74"/>
  <c r="B87" i="74"/>
  <c r="C86" i="74"/>
  <c r="B86" i="74"/>
  <c r="C85" i="74"/>
  <c r="B85" i="74"/>
  <c r="C84" i="74"/>
  <c r="B84" i="74"/>
  <c r="C83" i="74"/>
  <c r="B83" i="74"/>
  <c r="C82" i="74"/>
  <c r="B82" i="74"/>
  <c r="C81" i="74"/>
  <c r="B81" i="74"/>
  <c r="C80" i="74"/>
  <c r="B80" i="74"/>
  <c r="C79" i="74"/>
  <c r="B79" i="74"/>
  <c r="C78" i="74"/>
  <c r="B78" i="74"/>
  <c r="C77" i="74"/>
  <c r="B77" i="74"/>
  <c r="D76" i="74"/>
  <c r="D75" i="74"/>
  <c r="D74" i="74"/>
  <c r="D73" i="74"/>
  <c r="D72" i="74"/>
  <c r="D71" i="74"/>
  <c r="D70" i="74"/>
  <c r="D69" i="74"/>
  <c r="D68" i="74"/>
  <c r="D67" i="74"/>
  <c r="D66" i="74"/>
  <c r="D65" i="74"/>
  <c r="D64" i="74"/>
  <c r="D63" i="74"/>
  <c r="D62" i="74"/>
  <c r="D61" i="74"/>
  <c r="D60" i="74"/>
  <c r="D59" i="74"/>
  <c r="D58" i="74"/>
  <c r="D57" i="74"/>
  <c r="D56" i="74"/>
  <c r="D55" i="74"/>
  <c r="D54" i="74"/>
  <c r="D53" i="74"/>
  <c r="D52" i="74"/>
  <c r="D51" i="74"/>
  <c r="D50" i="74"/>
  <c r="D49" i="74"/>
  <c r="D48" i="74"/>
  <c r="D47" i="74"/>
  <c r="D46" i="74"/>
  <c r="D45" i="74"/>
  <c r="D44" i="74"/>
  <c r="D43" i="74"/>
  <c r="D42" i="74"/>
  <c r="D41" i="74"/>
  <c r="D40" i="74"/>
  <c r="D39" i="74"/>
  <c r="D38" i="74"/>
  <c r="D37" i="74"/>
  <c r="D36" i="74"/>
  <c r="D35" i="74"/>
  <c r="D34" i="74"/>
  <c r="D33" i="74"/>
  <c r="D32" i="74"/>
  <c r="D31" i="74"/>
  <c r="D30" i="74"/>
  <c r="D29" i="74"/>
  <c r="D28" i="74"/>
  <c r="D27" i="74"/>
  <c r="D26" i="74"/>
  <c r="D25" i="74"/>
  <c r="D24" i="74"/>
  <c r="D23" i="74"/>
  <c r="D22" i="74"/>
  <c r="D21" i="74"/>
  <c r="D20" i="74"/>
  <c r="D19" i="74"/>
  <c r="D18" i="74"/>
  <c r="D17" i="74"/>
  <c r="D16" i="74"/>
  <c r="D15" i="74"/>
  <c r="D14" i="74"/>
  <c r="D13" i="74"/>
  <c r="D12" i="74"/>
  <c r="D11" i="74"/>
  <c r="G98" i="73"/>
  <c r="G97" i="73"/>
  <c r="G96" i="73"/>
  <c r="G95" i="73"/>
  <c r="G94" i="73"/>
  <c r="G93" i="73"/>
  <c r="G92" i="73"/>
  <c r="G91" i="73"/>
  <c r="G90" i="73"/>
  <c r="G89" i="73"/>
  <c r="G88" i="73"/>
  <c r="G87" i="73"/>
  <c r="G86" i="73"/>
  <c r="G85" i="73"/>
  <c r="G84" i="73"/>
  <c r="G83" i="73"/>
  <c r="G82" i="73"/>
  <c r="G81" i="73"/>
  <c r="G80" i="73"/>
  <c r="G79" i="73"/>
  <c r="G78" i="73"/>
  <c r="G77" i="73"/>
  <c r="G76" i="73"/>
  <c r="G75" i="73"/>
  <c r="G74" i="73"/>
  <c r="G73" i="73"/>
  <c r="G72" i="73"/>
  <c r="G71" i="73"/>
  <c r="G70" i="73"/>
  <c r="G69" i="73"/>
  <c r="G68" i="73"/>
  <c r="G67" i="73"/>
  <c r="G66" i="73"/>
  <c r="G65" i="73"/>
  <c r="G64" i="73"/>
  <c r="G63" i="73"/>
  <c r="G62" i="73"/>
  <c r="G61" i="73"/>
  <c r="G60" i="73"/>
  <c r="G59" i="73"/>
  <c r="G58" i="73"/>
  <c r="G57" i="73"/>
  <c r="G56" i="73"/>
  <c r="G55" i="73"/>
  <c r="G54" i="73"/>
  <c r="G53" i="73"/>
  <c r="G52"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G26" i="73"/>
  <c r="G25" i="73"/>
  <c r="G24" i="73"/>
  <c r="G23" i="73"/>
  <c r="G22" i="73"/>
  <c r="G21" i="73"/>
  <c r="G20" i="73"/>
  <c r="G19" i="73"/>
  <c r="G18" i="73"/>
  <c r="G17" i="73"/>
  <c r="G16" i="73"/>
  <c r="G15" i="73"/>
  <c r="G14" i="73"/>
  <c r="G13" i="73"/>
  <c r="G12" i="73"/>
  <c r="G11" i="73"/>
  <c r="G98" i="72"/>
  <c r="G97" i="72"/>
  <c r="G96" i="72"/>
  <c r="G95" i="72"/>
  <c r="G94" i="72"/>
  <c r="G93" i="72"/>
  <c r="G92" i="72"/>
  <c r="G91" i="72"/>
  <c r="F90" i="72"/>
  <c r="E90" i="72"/>
  <c r="D90" i="72"/>
  <c r="C90" i="72"/>
  <c r="B90" i="72"/>
  <c r="F89" i="72"/>
  <c r="E89" i="72"/>
  <c r="D89" i="72"/>
  <c r="C89" i="72"/>
  <c r="B89" i="72"/>
  <c r="G88" i="72"/>
  <c r="G87" i="72"/>
  <c r="G86" i="72"/>
  <c r="G85" i="72"/>
  <c r="G84" i="72"/>
  <c r="G83" i="72"/>
  <c r="G82" i="72"/>
  <c r="G81" i="72"/>
  <c r="G80" i="72"/>
  <c r="G79" i="72"/>
  <c r="G78" i="72"/>
  <c r="G77" i="72"/>
  <c r="G76" i="72"/>
  <c r="G75" i="72"/>
  <c r="G74" i="72"/>
  <c r="G73" i="72"/>
  <c r="G72" i="72"/>
  <c r="G71" i="72"/>
  <c r="G70" i="72"/>
  <c r="G69" i="72"/>
  <c r="G68" i="72"/>
  <c r="G67" i="72"/>
  <c r="G66" i="72"/>
  <c r="G65" i="72"/>
  <c r="G64" i="72"/>
  <c r="G63" i="72"/>
  <c r="G62" i="72"/>
  <c r="G61" i="72"/>
  <c r="G60" i="72"/>
  <c r="G59"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G25" i="72"/>
  <c r="G24" i="72"/>
  <c r="G23" i="72"/>
  <c r="G22" i="72"/>
  <c r="G21" i="72"/>
  <c r="G20" i="72"/>
  <c r="G19" i="72"/>
  <c r="G18" i="72"/>
  <c r="G17" i="72"/>
  <c r="G16" i="72"/>
  <c r="G15" i="72"/>
  <c r="G14" i="72"/>
  <c r="G13" i="72"/>
  <c r="G12" i="72"/>
  <c r="G11" i="72"/>
  <c r="G104" i="71"/>
  <c r="G103" i="71"/>
  <c r="G102" i="71"/>
  <c r="G101" i="71"/>
  <c r="G100" i="71"/>
  <c r="G99" i="71"/>
  <c r="G98" i="71"/>
  <c r="G97" i="71"/>
  <c r="G96" i="71"/>
  <c r="G95" i="71"/>
  <c r="G94" i="71"/>
  <c r="G93" i="71"/>
  <c r="G92" i="71"/>
  <c r="G91" i="71"/>
  <c r="G90" i="71"/>
  <c r="G89" i="71"/>
  <c r="F88" i="71"/>
  <c r="E88" i="71"/>
  <c r="D88" i="71"/>
  <c r="C88" i="71"/>
  <c r="B88" i="71"/>
  <c r="G87" i="71"/>
  <c r="G86" i="71"/>
  <c r="G85" i="71"/>
  <c r="G84" i="71"/>
  <c r="G83" i="71"/>
  <c r="G82" i="71"/>
  <c r="G81" i="71"/>
  <c r="G80" i="71"/>
  <c r="G79" i="71"/>
  <c r="G78" i="71"/>
  <c r="G77" i="71"/>
  <c r="G76" i="71"/>
  <c r="F75" i="71"/>
  <c r="E75" i="71"/>
  <c r="D75" i="71"/>
  <c r="C75" i="71"/>
  <c r="B75" i="71"/>
  <c r="G74" i="71"/>
  <c r="G73" i="71"/>
  <c r="G72" i="71"/>
  <c r="G71" i="71"/>
  <c r="G70" i="71"/>
  <c r="G69" i="71"/>
  <c r="G68" i="71"/>
  <c r="G67" i="71"/>
  <c r="G66" i="71"/>
  <c r="G65" i="71"/>
  <c r="G64" i="71"/>
  <c r="G63" i="71"/>
  <c r="F62" i="71"/>
  <c r="E62" i="71"/>
  <c r="D62" i="71"/>
  <c r="C62" i="71"/>
  <c r="B62" i="71"/>
  <c r="G61" i="71"/>
  <c r="G60" i="71"/>
  <c r="G59" i="71"/>
  <c r="G58" i="71"/>
  <c r="G57" i="71"/>
  <c r="G56" i="71"/>
  <c r="G55" i="71"/>
  <c r="G54" i="71"/>
  <c r="G53" i="71"/>
  <c r="G52" i="71"/>
  <c r="G51" i="71"/>
  <c r="G50" i="71"/>
  <c r="F49" i="71"/>
  <c r="E49" i="71"/>
  <c r="D49" i="71"/>
  <c r="C49" i="71"/>
  <c r="B49" i="71"/>
  <c r="G48" i="71"/>
  <c r="G47" i="71"/>
  <c r="G46" i="71"/>
  <c r="G45" i="71"/>
  <c r="G44" i="71"/>
  <c r="G43" i="71"/>
  <c r="G42" i="71"/>
  <c r="G41" i="71"/>
  <c r="G40" i="71"/>
  <c r="G39" i="71"/>
  <c r="G38" i="71"/>
  <c r="G37" i="71"/>
  <c r="G36" i="71"/>
  <c r="G35" i="71"/>
  <c r="G34" i="71"/>
  <c r="G33" i="71"/>
  <c r="G32" i="71"/>
  <c r="G31" i="71"/>
  <c r="G30" i="71"/>
  <c r="G29" i="71"/>
  <c r="G28" i="71"/>
  <c r="G27" i="71"/>
  <c r="G26" i="71"/>
  <c r="G25" i="71"/>
  <c r="G24" i="71"/>
  <c r="G23" i="71"/>
  <c r="G22" i="71"/>
  <c r="G21" i="71"/>
  <c r="G20" i="71"/>
  <c r="G19" i="71"/>
  <c r="G18" i="71"/>
  <c r="G17" i="71"/>
  <c r="G16" i="71"/>
  <c r="G15" i="71"/>
  <c r="G14" i="71"/>
  <c r="G13" i="71"/>
  <c r="G12" i="71"/>
  <c r="G11" i="71"/>
  <c r="O101" i="101"/>
  <c r="V100" i="101"/>
  <c r="O100" i="101"/>
  <c r="V99" i="101"/>
  <c r="V98" i="101"/>
  <c r="X97" i="101"/>
  <c r="X96" i="101"/>
  <c r="W95" i="101"/>
  <c r="U95" i="101"/>
  <c r="S95" i="101"/>
  <c r="R95" i="101"/>
  <c r="Q95" i="101"/>
  <c r="P95" i="101"/>
  <c r="O95" i="101"/>
  <c r="N95" i="101"/>
  <c r="M95" i="101"/>
  <c r="W94" i="101"/>
  <c r="U94" i="101"/>
  <c r="S94" i="101"/>
  <c r="R94" i="101"/>
  <c r="Q94" i="101"/>
  <c r="P94" i="101"/>
  <c r="O94" i="101"/>
  <c r="N94" i="101"/>
  <c r="M94" i="101"/>
  <c r="L91" i="101"/>
  <c r="K91" i="101"/>
  <c r="E91" i="101" s="1"/>
  <c r="J91" i="101"/>
  <c r="I91" i="101"/>
  <c r="C91" i="101" s="1"/>
  <c r="H91" i="101"/>
  <c r="B91" i="101" s="1"/>
  <c r="L90" i="101"/>
  <c r="K90" i="101"/>
  <c r="E90" i="101" s="1"/>
  <c r="J90" i="101"/>
  <c r="I90" i="101"/>
  <c r="C90" i="101" s="1"/>
  <c r="H90" i="101"/>
  <c r="B90" i="101" s="1"/>
  <c r="W89" i="101"/>
  <c r="U89" i="101"/>
  <c r="S89" i="101"/>
  <c r="R89" i="101"/>
  <c r="Q89" i="101"/>
  <c r="P89" i="101"/>
  <c r="O89" i="101"/>
  <c r="N89" i="101"/>
  <c r="M89" i="101"/>
  <c r="L89" i="101"/>
  <c r="K89" i="101"/>
  <c r="J89" i="101"/>
  <c r="I89" i="101"/>
  <c r="H89" i="101"/>
  <c r="W88" i="101"/>
  <c r="U88" i="101"/>
  <c r="S88" i="101"/>
  <c r="R88" i="101"/>
  <c r="Q88" i="101"/>
  <c r="P88" i="101"/>
  <c r="O88" i="101"/>
  <c r="N88" i="101"/>
  <c r="M88" i="101"/>
  <c r="L88" i="101"/>
  <c r="K88" i="101"/>
  <c r="J88" i="101"/>
  <c r="I88" i="101"/>
  <c r="H88" i="101"/>
  <c r="W87" i="101"/>
  <c r="U87" i="101"/>
  <c r="S87" i="101"/>
  <c r="R87" i="101"/>
  <c r="Q87" i="101"/>
  <c r="P87" i="101"/>
  <c r="O87" i="101"/>
  <c r="N87" i="101"/>
  <c r="M87" i="101"/>
  <c r="L87" i="101"/>
  <c r="K87" i="101"/>
  <c r="J87" i="101"/>
  <c r="I87" i="101"/>
  <c r="H87" i="101"/>
  <c r="W86" i="101"/>
  <c r="V86" i="101"/>
  <c r="U86" i="101"/>
  <c r="S86" i="101"/>
  <c r="R86" i="101"/>
  <c r="Q86" i="101"/>
  <c r="P86" i="101"/>
  <c r="O86" i="101"/>
  <c r="N86" i="101"/>
  <c r="M86" i="101"/>
  <c r="L86" i="101"/>
  <c r="K86" i="101"/>
  <c r="J86" i="101"/>
  <c r="I86" i="101"/>
  <c r="H86" i="101"/>
  <c r="W85" i="101"/>
  <c r="U85" i="101"/>
  <c r="S85" i="101"/>
  <c r="R85" i="101"/>
  <c r="Q85" i="101"/>
  <c r="P85" i="101"/>
  <c r="O85" i="101"/>
  <c r="N85" i="101"/>
  <c r="M85" i="101"/>
  <c r="L85" i="101"/>
  <c r="K85" i="101"/>
  <c r="J85" i="101"/>
  <c r="I85" i="101"/>
  <c r="H85" i="101"/>
  <c r="W84" i="101"/>
  <c r="U84" i="101"/>
  <c r="S84" i="101"/>
  <c r="R84" i="101"/>
  <c r="Q84" i="101"/>
  <c r="P84" i="101"/>
  <c r="O84" i="101"/>
  <c r="N84" i="101"/>
  <c r="M84" i="101"/>
  <c r="L84" i="101"/>
  <c r="K84" i="101"/>
  <c r="J84" i="101"/>
  <c r="I84" i="101"/>
  <c r="H84" i="101"/>
  <c r="W83" i="101"/>
  <c r="U83" i="101"/>
  <c r="S83" i="101"/>
  <c r="R83" i="101"/>
  <c r="Q83" i="101"/>
  <c r="P83" i="101"/>
  <c r="O83" i="101"/>
  <c r="N83" i="101"/>
  <c r="M83" i="101"/>
  <c r="L83" i="101"/>
  <c r="K83" i="101"/>
  <c r="J83" i="101"/>
  <c r="I83" i="101"/>
  <c r="H83" i="101"/>
  <c r="W82" i="101"/>
  <c r="U82" i="101"/>
  <c r="S82" i="101"/>
  <c r="R82" i="101"/>
  <c r="Q82" i="101"/>
  <c r="P82" i="101"/>
  <c r="O82" i="101"/>
  <c r="N82" i="101"/>
  <c r="M82" i="101"/>
  <c r="L82" i="101"/>
  <c r="K82" i="101"/>
  <c r="J82" i="101"/>
  <c r="I82" i="101"/>
  <c r="H82" i="101"/>
  <c r="W81" i="101"/>
  <c r="U81" i="101"/>
  <c r="S81" i="101"/>
  <c r="R81" i="101"/>
  <c r="Q81" i="101"/>
  <c r="P81" i="101"/>
  <c r="O81" i="101"/>
  <c r="N81" i="101"/>
  <c r="M81" i="101"/>
  <c r="L81" i="101"/>
  <c r="K81" i="101"/>
  <c r="J81" i="101"/>
  <c r="I81" i="101"/>
  <c r="H81" i="101"/>
  <c r="W80" i="101"/>
  <c r="U80" i="101"/>
  <c r="S80" i="101"/>
  <c r="R80" i="101"/>
  <c r="Q80" i="101"/>
  <c r="P80" i="101"/>
  <c r="O80" i="101"/>
  <c r="N80" i="101"/>
  <c r="M80" i="101"/>
  <c r="L80" i="101"/>
  <c r="K80" i="101"/>
  <c r="J80" i="101"/>
  <c r="I80" i="101"/>
  <c r="H80" i="101"/>
  <c r="W79" i="101"/>
  <c r="V79" i="101"/>
  <c r="U79" i="101"/>
  <c r="S79" i="101"/>
  <c r="R79" i="101"/>
  <c r="Q79" i="101"/>
  <c r="P79" i="101"/>
  <c r="O79" i="101"/>
  <c r="N79" i="101"/>
  <c r="M79" i="101"/>
  <c r="L79" i="101"/>
  <c r="K79" i="101"/>
  <c r="J79" i="101"/>
  <c r="I79" i="101"/>
  <c r="H79" i="101"/>
  <c r="W78" i="101"/>
  <c r="V78" i="101"/>
  <c r="U78" i="101"/>
  <c r="S78" i="101"/>
  <c r="R78" i="101"/>
  <c r="Q78" i="101"/>
  <c r="P78" i="101"/>
  <c r="O78" i="101"/>
  <c r="N78" i="101"/>
  <c r="M78" i="101"/>
  <c r="L78" i="101"/>
  <c r="K78" i="101"/>
  <c r="J78" i="101"/>
  <c r="I78" i="101"/>
  <c r="H78" i="101"/>
  <c r="W77" i="101"/>
  <c r="V77" i="101"/>
  <c r="U77" i="101"/>
  <c r="S77" i="101"/>
  <c r="R77" i="101"/>
  <c r="Q77" i="101"/>
  <c r="P77" i="101"/>
  <c r="O77" i="101"/>
  <c r="N77" i="101"/>
  <c r="M77" i="101"/>
  <c r="L77" i="101"/>
  <c r="K77" i="101"/>
  <c r="J77" i="101"/>
  <c r="I77" i="101"/>
  <c r="H77" i="101"/>
  <c r="W76" i="101"/>
  <c r="V76" i="101"/>
  <c r="U76" i="101"/>
  <c r="S76" i="101"/>
  <c r="R76" i="101"/>
  <c r="Q76" i="101"/>
  <c r="P76" i="101"/>
  <c r="O76" i="101"/>
  <c r="N76" i="101"/>
  <c r="M76" i="101"/>
  <c r="L76" i="101"/>
  <c r="K76" i="101"/>
  <c r="J76" i="101"/>
  <c r="I76" i="101"/>
  <c r="H76" i="101"/>
  <c r="W75" i="101"/>
  <c r="V75" i="101"/>
  <c r="U75" i="101"/>
  <c r="S75" i="101"/>
  <c r="R75" i="101"/>
  <c r="Q75" i="101"/>
  <c r="P75" i="101"/>
  <c r="O75" i="101"/>
  <c r="N75" i="101"/>
  <c r="M75" i="101"/>
  <c r="L75" i="101"/>
  <c r="K75" i="101"/>
  <c r="J75" i="101"/>
  <c r="I75" i="101"/>
  <c r="H75" i="101"/>
  <c r="W74" i="101"/>
  <c r="V74" i="101"/>
  <c r="U74" i="101"/>
  <c r="S74" i="101"/>
  <c r="R74" i="101"/>
  <c r="Q74" i="101"/>
  <c r="P74" i="101"/>
  <c r="O74" i="101"/>
  <c r="N74" i="101"/>
  <c r="M74" i="101"/>
  <c r="L74" i="101"/>
  <c r="K74" i="101"/>
  <c r="J74" i="101"/>
  <c r="I74" i="101"/>
  <c r="H74" i="101"/>
  <c r="W73" i="101"/>
  <c r="V73" i="101"/>
  <c r="U73" i="101"/>
  <c r="S73" i="101"/>
  <c r="R73" i="101"/>
  <c r="Q73" i="101"/>
  <c r="P73" i="101"/>
  <c r="O73" i="101"/>
  <c r="N73" i="101"/>
  <c r="M73" i="101"/>
  <c r="L73" i="101"/>
  <c r="K73" i="101"/>
  <c r="J73" i="101"/>
  <c r="I73" i="101"/>
  <c r="H73" i="101"/>
  <c r="W72" i="101"/>
  <c r="V72" i="101"/>
  <c r="U72" i="101"/>
  <c r="S72" i="101"/>
  <c r="R72" i="101"/>
  <c r="Q72" i="101"/>
  <c r="P72" i="101"/>
  <c r="O72" i="101"/>
  <c r="N72" i="101"/>
  <c r="M72" i="101"/>
  <c r="L72" i="101"/>
  <c r="K72" i="101"/>
  <c r="J72" i="101"/>
  <c r="I72" i="101"/>
  <c r="H72" i="101"/>
  <c r="W71" i="101"/>
  <c r="V71" i="101"/>
  <c r="U71" i="101"/>
  <c r="S71" i="101"/>
  <c r="R71" i="101"/>
  <c r="Q71" i="101"/>
  <c r="P71" i="101"/>
  <c r="O71" i="101"/>
  <c r="N71" i="101"/>
  <c r="M71" i="101"/>
  <c r="L71" i="101"/>
  <c r="K71" i="101"/>
  <c r="J71" i="101"/>
  <c r="I71" i="101"/>
  <c r="H71" i="101"/>
  <c r="F70" i="101"/>
  <c r="F69" i="101"/>
  <c r="F68" i="101"/>
  <c r="F67" i="101"/>
  <c r="F66" i="101"/>
  <c r="F65" i="101"/>
  <c r="F64" i="101"/>
  <c r="F63" i="101"/>
  <c r="F62" i="101"/>
  <c r="F61" i="101"/>
  <c r="F60" i="101"/>
  <c r="F59" i="101"/>
  <c r="F58" i="101"/>
  <c r="F57" i="101"/>
  <c r="F56" i="101"/>
  <c r="F55" i="101"/>
  <c r="F54" i="101"/>
  <c r="F53" i="101"/>
  <c r="F52" i="101"/>
  <c r="F51" i="101"/>
  <c r="F50" i="101"/>
  <c r="E49" i="101"/>
  <c r="D49" i="101"/>
  <c r="C49" i="101"/>
  <c r="B49" i="101"/>
  <c r="F49" i="101" s="1"/>
  <c r="F48" i="101"/>
  <c r="F47" i="101"/>
  <c r="F46" i="101"/>
  <c r="F45" i="101"/>
  <c r="F44" i="101"/>
  <c r="F43" i="101"/>
  <c r="F42" i="101"/>
  <c r="F41" i="101"/>
  <c r="F40" i="101"/>
  <c r="F39" i="101"/>
  <c r="F38" i="101"/>
  <c r="F37" i="101"/>
  <c r="E36" i="101"/>
  <c r="D36" i="101"/>
  <c r="C36" i="101"/>
  <c r="B36" i="101"/>
  <c r="F36" i="101" s="1"/>
  <c r="F35" i="101"/>
  <c r="F34" i="101"/>
  <c r="F33" i="101"/>
  <c r="F32" i="101"/>
  <c r="F31" i="101"/>
  <c r="F30" i="101"/>
  <c r="F29" i="101"/>
  <c r="F28" i="101"/>
  <c r="F27" i="101"/>
  <c r="F26" i="101"/>
  <c r="F25" i="101"/>
  <c r="F24" i="101"/>
  <c r="E23" i="101"/>
  <c r="D23" i="101"/>
  <c r="C23" i="101"/>
  <c r="B23" i="101"/>
  <c r="F23" i="101" s="1"/>
  <c r="F22" i="101"/>
  <c r="F21" i="101"/>
  <c r="F20" i="101"/>
  <c r="F19" i="101"/>
  <c r="F18" i="101"/>
  <c r="F17" i="101"/>
  <c r="F16" i="101"/>
  <c r="F15" i="101"/>
  <c r="F14" i="101"/>
  <c r="F13" i="101"/>
  <c r="F12" i="101"/>
  <c r="F11" i="101"/>
  <c r="G104" i="43"/>
  <c r="G103" i="43"/>
  <c r="G102" i="43"/>
  <c r="G101" i="43"/>
  <c r="G100" i="43"/>
  <c r="G99" i="43"/>
  <c r="G98" i="43"/>
  <c r="G97" i="43"/>
  <c r="G96" i="43"/>
  <c r="G95" i="43"/>
  <c r="G94" i="43"/>
  <c r="G93" i="43"/>
  <c r="G92" i="43"/>
  <c r="G91" i="43"/>
  <c r="G90" i="43"/>
  <c r="G89" i="43"/>
  <c r="F88" i="43"/>
  <c r="E88" i="43"/>
  <c r="D88" i="43"/>
  <c r="C88" i="43"/>
  <c r="B88" i="43"/>
  <c r="G87" i="43"/>
  <c r="G86" i="43"/>
  <c r="G85" i="43"/>
  <c r="G84" i="43"/>
  <c r="G83" i="43"/>
  <c r="G82" i="43"/>
  <c r="G81" i="43"/>
  <c r="G80" i="43"/>
  <c r="G79" i="43"/>
  <c r="G78" i="43"/>
  <c r="G77" i="43"/>
  <c r="G76" i="43"/>
  <c r="F75" i="43"/>
  <c r="E75" i="43"/>
  <c r="D75" i="43"/>
  <c r="C75" i="43"/>
  <c r="B75" i="43"/>
  <c r="G74" i="43"/>
  <c r="G73" i="43"/>
  <c r="G72" i="43"/>
  <c r="G71" i="43"/>
  <c r="G70" i="43"/>
  <c r="G69" i="43"/>
  <c r="G68" i="43"/>
  <c r="G67" i="43"/>
  <c r="G66" i="43"/>
  <c r="G65" i="43"/>
  <c r="G64" i="43"/>
  <c r="G63" i="43"/>
  <c r="F62" i="43"/>
  <c r="E62" i="43"/>
  <c r="D62" i="43"/>
  <c r="C62" i="43"/>
  <c r="B62" i="43"/>
  <c r="G61" i="43"/>
  <c r="G60" i="43"/>
  <c r="G59" i="43"/>
  <c r="G58" i="43"/>
  <c r="G57" i="43"/>
  <c r="G56" i="43"/>
  <c r="G55" i="43"/>
  <c r="G54" i="43"/>
  <c r="G53" i="43"/>
  <c r="G52" i="43"/>
  <c r="G51" i="43"/>
  <c r="G50" i="43"/>
  <c r="F49" i="43"/>
  <c r="E49" i="43"/>
  <c r="D49" i="43"/>
  <c r="C49" i="43"/>
  <c r="B49" i="43"/>
  <c r="G48" i="43"/>
  <c r="G47" i="43"/>
  <c r="G46" i="43"/>
  <c r="G45" i="43"/>
  <c r="G44" i="43"/>
  <c r="G43" i="43"/>
  <c r="G42" i="43"/>
  <c r="G41" i="43"/>
  <c r="G40" i="43"/>
  <c r="G39" i="43"/>
  <c r="G38" i="43"/>
  <c r="G37" i="43"/>
  <c r="F36" i="43"/>
  <c r="E36" i="43"/>
  <c r="D36" i="43"/>
  <c r="C36" i="43"/>
  <c r="B36" i="43"/>
  <c r="G35" i="43"/>
  <c r="G34" i="43"/>
  <c r="G33" i="43"/>
  <c r="G32" i="43"/>
  <c r="G31" i="43"/>
  <c r="G30" i="43"/>
  <c r="G29" i="43"/>
  <c r="G28" i="43"/>
  <c r="G27" i="43"/>
  <c r="G26" i="43"/>
  <c r="G25" i="43"/>
  <c r="G24" i="43"/>
  <c r="F23" i="43"/>
  <c r="E23" i="43"/>
  <c r="D23" i="43"/>
  <c r="C23" i="43"/>
  <c r="B23" i="43"/>
  <c r="G22" i="43"/>
  <c r="G21" i="43"/>
  <c r="G20" i="43"/>
  <c r="G19" i="43"/>
  <c r="G18" i="43"/>
  <c r="G17" i="43"/>
  <c r="G16" i="43"/>
  <c r="G15" i="43"/>
  <c r="G14" i="43"/>
  <c r="G13" i="43"/>
  <c r="G12" i="43"/>
  <c r="G11" i="43"/>
  <c r="F187" i="42"/>
  <c r="E187" i="42"/>
  <c r="D187" i="42"/>
  <c r="G186" i="42"/>
  <c r="M179" i="42"/>
  <c r="L179" i="42"/>
  <c r="J179" i="42"/>
  <c r="I179" i="42"/>
  <c r="H179" i="42"/>
  <c r="F157" i="42"/>
  <c r="F158" i="42" s="1"/>
  <c r="E157" i="42"/>
  <c r="E159" i="42" s="1"/>
  <c r="D157" i="42"/>
  <c r="J156" i="42"/>
  <c r="G164" i="42" s="1"/>
  <c r="I155" i="42"/>
  <c r="H155" i="42"/>
  <c r="G155" i="42"/>
  <c r="I154" i="42"/>
  <c r="H154" i="42"/>
  <c r="G154" i="42"/>
  <c r="I153" i="42"/>
  <c r="H153" i="42"/>
  <c r="G153" i="42"/>
  <c r="W101" i="101"/>
  <c r="J107" i="42"/>
  <c r="U101" i="101" s="1"/>
  <c r="H107" i="42"/>
  <c r="S101" i="101" s="1"/>
  <c r="G107" i="42"/>
  <c r="R101" i="101" s="1"/>
  <c r="G177" i="42"/>
  <c r="E107" i="42"/>
  <c r="P101" i="101" s="1"/>
  <c r="C107" i="42"/>
  <c r="B107" i="42"/>
  <c r="H101" i="101" s="1"/>
  <c r="W100" i="101"/>
  <c r="J106" i="42"/>
  <c r="U100" i="101" s="1"/>
  <c r="H106" i="42"/>
  <c r="J100" i="101" s="1"/>
  <c r="G106" i="42"/>
  <c r="R100" i="101" s="1"/>
  <c r="Q100" i="101"/>
  <c r="E106" i="42"/>
  <c r="C106" i="42"/>
  <c r="B106" i="42"/>
  <c r="H100" i="101" s="1"/>
  <c r="W99" i="101"/>
  <c r="J105" i="42"/>
  <c r="H105" i="42"/>
  <c r="S99" i="101" s="1"/>
  <c r="G105" i="42"/>
  <c r="R99" i="101" s="1"/>
  <c r="E105" i="42"/>
  <c r="D105" i="42"/>
  <c r="O99" i="101" s="1"/>
  <c r="C105" i="42"/>
  <c r="N99" i="101" s="1"/>
  <c r="B105" i="42"/>
  <c r="M99" i="101" s="1"/>
  <c r="W98" i="101"/>
  <c r="J104" i="42"/>
  <c r="U98" i="101" s="1"/>
  <c r="H104" i="42"/>
  <c r="J98" i="101" s="1"/>
  <c r="G104" i="42"/>
  <c r="R98" i="101" s="1"/>
  <c r="Q98" i="101"/>
  <c r="E104" i="42"/>
  <c r="I98" i="101" s="1"/>
  <c r="D104" i="42"/>
  <c r="C104" i="42"/>
  <c r="N98" i="101" s="1"/>
  <c r="B104" i="42"/>
  <c r="H98" i="101" s="1"/>
  <c r="K103" i="42"/>
  <c r="L102" i="42"/>
  <c r="J102" i="42"/>
  <c r="K97" i="101" s="1"/>
  <c r="E97" i="101" s="1"/>
  <c r="H102" i="42"/>
  <c r="J97" i="101" s="1"/>
  <c r="G102" i="42"/>
  <c r="F102" i="42"/>
  <c r="E102" i="42"/>
  <c r="I97" i="101" s="1"/>
  <c r="C97" i="101" s="1"/>
  <c r="D102" i="42"/>
  <c r="C102" i="42"/>
  <c r="F162" i="42" s="1"/>
  <c r="B102" i="42"/>
  <c r="H97" i="101" s="1"/>
  <c r="B97" i="101" s="1"/>
  <c r="L101" i="42"/>
  <c r="J101" i="42"/>
  <c r="K96" i="101" s="1"/>
  <c r="E96" i="101" s="1"/>
  <c r="H101" i="42"/>
  <c r="J96" i="101" s="1"/>
  <c r="G101" i="42"/>
  <c r="F101" i="42"/>
  <c r="E101" i="42"/>
  <c r="I96" i="101" s="1"/>
  <c r="C96" i="101" s="1"/>
  <c r="D101" i="42"/>
  <c r="C101" i="42"/>
  <c r="E162" i="42" s="1"/>
  <c r="B101" i="42"/>
  <c r="H96" i="101" s="1"/>
  <c r="B96" i="101" s="1"/>
  <c r="L100" i="42"/>
  <c r="J100" i="42"/>
  <c r="K95" i="101" s="1"/>
  <c r="H100" i="42"/>
  <c r="J95" i="101" s="1"/>
  <c r="G100" i="42"/>
  <c r="F100" i="42"/>
  <c r="E100" i="42"/>
  <c r="I95" i="101" s="1"/>
  <c r="D100" i="42"/>
  <c r="C100" i="42"/>
  <c r="D162" i="42" s="1"/>
  <c r="B100" i="42"/>
  <c r="H95" i="101" s="1"/>
  <c r="L99" i="42"/>
  <c r="J99" i="42"/>
  <c r="K94" i="101" s="1"/>
  <c r="H99" i="42"/>
  <c r="J94" i="101" s="1"/>
  <c r="G99" i="42"/>
  <c r="F99" i="42"/>
  <c r="E99" i="42"/>
  <c r="I94" i="101" s="1"/>
  <c r="D99" i="42"/>
  <c r="C99" i="42"/>
  <c r="M154" i="42" s="1"/>
  <c r="B99" i="42"/>
  <c r="L98" i="42"/>
  <c r="J98" i="42"/>
  <c r="K93" i="101" s="1"/>
  <c r="E93" i="101" s="1"/>
  <c r="H98" i="42"/>
  <c r="J93" i="101" s="1"/>
  <c r="G98" i="42"/>
  <c r="F98" i="42"/>
  <c r="E98" i="42"/>
  <c r="I93" i="101" s="1"/>
  <c r="C93" i="101" s="1"/>
  <c r="D98" i="42"/>
  <c r="C98" i="42"/>
  <c r="L154" i="42" s="1"/>
  <c r="B98" i="42"/>
  <c r="H93" i="101" s="1"/>
  <c r="B93" i="101" s="1"/>
  <c r="L97" i="42"/>
  <c r="J97" i="42"/>
  <c r="H97" i="42"/>
  <c r="J92" i="101" s="1"/>
  <c r="G97" i="42"/>
  <c r="F97" i="42"/>
  <c r="E97" i="42"/>
  <c r="I92" i="101" s="1"/>
  <c r="C92" i="101" s="1"/>
  <c r="D97" i="42"/>
  <c r="C97" i="42"/>
  <c r="J154" i="42" s="1"/>
  <c r="B97" i="42"/>
  <c r="M96" i="42"/>
  <c r="X91" i="101" s="1"/>
  <c r="M95" i="42"/>
  <c r="X90" i="101" s="1"/>
  <c r="M94" i="42"/>
  <c r="X89" i="101" s="1"/>
  <c r="M93" i="42"/>
  <c r="X88" i="101" s="1"/>
  <c r="M92" i="42"/>
  <c r="X87" i="101" s="1"/>
  <c r="M91" i="42"/>
  <c r="X86" i="101" s="1"/>
  <c r="L90" i="42"/>
  <c r="K90" i="42"/>
  <c r="J90" i="42"/>
  <c r="H90" i="42"/>
  <c r="G90" i="42"/>
  <c r="F90" i="42"/>
  <c r="E90" i="42"/>
  <c r="D90" i="42"/>
  <c r="C90" i="42"/>
  <c r="B90" i="42"/>
  <c r="M89" i="42"/>
  <c r="X85" i="101" s="1"/>
  <c r="M88" i="42"/>
  <c r="X84" i="101" s="1"/>
  <c r="M87" i="42"/>
  <c r="X83" i="101" s="1"/>
  <c r="M86" i="42"/>
  <c r="X82" i="101" s="1"/>
  <c r="M85" i="42"/>
  <c r="X81" i="101" s="1"/>
  <c r="M84" i="42"/>
  <c r="X80" i="101" s="1"/>
  <c r="M83" i="42"/>
  <c r="X79" i="101" s="1"/>
  <c r="M82" i="42"/>
  <c r="X78" i="101" s="1"/>
  <c r="M81" i="42"/>
  <c r="X77" i="101" s="1"/>
  <c r="M80" i="42"/>
  <c r="X76" i="101" s="1"/>
  <c r="M79" i="42"/>
  <c r="X75" i="101" s="1"/>
  <c r="M78" i="42"/>
  <c r="X74" i="101" s="1"/>
  <c r="L77" i="42"/>
  <c r="K77" i="42"/>
  <c r="J77" i="42"/>
  <c r="H77" i="42"/>
  <c r="G77" i="42"/>
  <c r="F77" i="42"/>
  <c r="E77" i="42"/>
  <c r="D77" i="42"/>
  <c r="C77" i="42"/>
  <c r="B77" i="42"/>
  <c r="M76" i="42"/>
  <c r="X73" i="101" s="1"/>
  <c r="M75" i="42"/>
  <c r="X72" i="101" s="1"/>
  <c r="M74" i="42"/>
  <c r="X71" i="101" s="1"/>
  <c r="M73" i="42"/>
  <c r="M72" i="42"/>
  <c r="M71" i="42"/>
  <c r="M70" i="42"/>
  <c r="M69" i="42"/>
  <c r="M68" i="42"/>
  <c r="M67" i="42"/>
  <c r="M66" i="42"/>
  <c r="M65" i="42"/>
  <c r="L64" i="42"/>
  <c r="K64" i="42"/>
  <c r="H64" i="42"/>
  <c r="G64" i="42"/>
  <c r="F64" i="42"/>
  <c r="E64" i="42"/>
  <c r="D64" i="42"/>
  <c r="C64" i="42"/>
  <c r="B64" i="42"/>
  <c r="M63" i="42"/>
  <c r="M62" i="42"/>
  <c r="M61" i="42"/>
  <c r="M60" i="42"/>
  <c r="M59" i="42"/>
  <c r="M58" i="42"/>
  <c r="M57" i="42"/>
  <c r="M56" i="42"/>
  <c r="M55" i="42"/>
  <c r="M54" i="42"/>
  <c r="M53" i="42"/>
  <c r="M52" i="42"/>
  <c r="L51" i="42"/>
  <c r="K51" i="42"/>
  <c r="H51" i="42"/>
  <c r="G51" i="42"/>
  <c r="F51" i="42"/>
  <c r="E51" i="42"/>
  <c r="D51" i="42"/>
  <c r="C51" i="42"/>
  <c r="B51" i="42"/>
  <c r="M50" i="42"/>
  <c r="M49" i="42"/>
  <c r="M48" i="42"/>
  <c r="M47" i="42"/>
  <c r="M46" i="42"/>
  <c r="M45" i="42"/>
  <c r="M44" i="42"/>
  <c r="M43" i="42"/>
  <c r="M42" i="42"/>
  <c r="M41" i="42"/>
  <c r="M40" i="42"/>
  <c r="M39" i="42"/>
  <c r="L38" i="42"/>
  <c r="K38" i="42"/>
  <c r="H38" i="42"/>
  <c r="G38" i="42"/>
  <c r="F38" i="42"/>
  <c r="E38" i="42"/>
  <c r="D38" i="42"/>
  <c r="C38" i="42"/>
  <c r="B38" i="42"/>
  <c r="M37" i="42"/>
  <c r="M36" i="42"/>
  <c r="M35" i="42"/>
  <c r="M34" i="42"/>
  <c r="M33" i="42"/>
  <c r="M32" i="42"/>
  <c r="M31" i="42"/>
  <c r="M30" i="42"/>
  <c r="M29" i="42"/>
  <c r="M28" i="42"/>
  <c r="M27" i="42"/>
  <c r="M26" i="42"/>
  <c r="L25" i="42"/>
  <c r="K25" i="42"/>
  <c r="H25" i="42"/>
  <c r="G25" i="42"/>
  <c r="F25" i="42"/>
  <c r="E25" i="42"/>
  <c r="D25" i="42"/>
  <c r="C25" i="42"/>
  <c r="B25" i="42"/>
  <c r="M24" i="42"/>
  <c r="M23" i="42"/>
  <c r="M22" i="42"/>
  <c r="M21" i="42"/>
  <c r="M20" i="42"/>
  <c r="M19" i="42"/>
  <c r="M18" i="42"/>
  <c r="M17" i="42"/>
  <c r="M16" i="42"/>
  <c r="M15" i="42"/>
  <c r="M14" i="42"/>
  <c r="M13" i="42"/>
  <c r="BN58" i="84"/>
  <c r="BM58" i="84"/>
  <c r="BL58" i="84"/>
  <c r="BK58" i="84"/>
  <c r="BJ58" i="84"/>
  <c r="BI58" i="84"/>
  <c r="BH58" i="84"/>
  <c r="BG58" i="84"/>
  <c r="BF58" i="84"/>
  <c r="BE58" i="84"/>
  <c r="BD58" i="84"/>
  <c r="BC58" i="84"/>
  <c r="BB58" i="84"/>
  <c r="BA58" i="84"/>
  <c r="AZ58" i="84"/>
  <c r="AY58" i="84"/>
  <c r="AX58" i="84"/>
  <c r="AW58" i="84"/>
  <c r="AV58" i="84"/>
  <c r="AU58" i="84"/>
  <c r="AT58" i="84"/>
  <c r="AS58" i="84"/>
  <c r="AR58" i="84"/>
  <c r="AQ58" i="84"/>
  <c r="AP58" i="84"/>
  <c r="AO58" i="84"/>
  <c r="AN58" i="84"/>
  <c r="AM58" i="84"/>
  <c r="AL58" i="84"/>
  <c r="AK58" i="84"/>
  <c r="AI58" i="84"/>
  <c r="AH58" i="84"/>
  <c r="AG58" i="84"/>
  <c r="AF58" i="84"/>
  <c r="AE58" i="84"/>
  <c r="AD58" i="84"/>
  <c r="AC58" i="84"/>
  <c r="AB58" i="84"/>
  <c r="AA58" i="84"/>
  <c r="Z58" i="84"/>
  <c r="Y58" i="84"/>
  <c r="X58" i="84"/>
  <c r="W58" i="84"/>
  <c r="V58" i="84"/>
  <c r="U58" i="84"/>
  <c r="T58" i="84"/>
  <c r="S58" i="84"/>
  <c r="R58" i="84"/>
  <c r="Q58" i="84"/>
  <c r="P58" i="84"/>
  <c r="O58" i="84"/>
  <c r="N58" i="84"/>
  <c r="M58" i="84"/>
  <c r="L58" i="84"/>
  <c r="K58" i="84"/>
  <c r="J58" i="84"/>
  <c r="I58" i="84"/>
  <c r="BN46" i="84"/>
  <c r="BM46" i="84"/>
  <c r="BL46" i="84"/>
  <c r="BK46" i="84"/>
  <c r="BJ46" i="84"/>
  <c r="BI46" i="84"/>
  <c r="BH46" i="84"/>
  <c r="BG46" i="84"/>
  <c r="BF46" i="84"/>
  <c r="BE46" i="84"/>
  <c r="BD46" i="84"/>
  <c r="BC46" i="84"/>
  <c r="BB46" i="84"/>
  <c r="BA46" i="84"/>
  <c r="AZ46" i="84"/>
  <c r="AY46" i="84"/>
  <c r="AX46" i="84"/>
  <c r="AW46" i="84"/>
  <c r="AV46" i="84"/>
  <c r="AU46" i="84"/>
  <c r="AT46" i="84"/>
  <c r="AS46" i="84"/>
  <c r="AR46" i="84"/>
  <c r="AQ46" i="84"/>
  <c r="AP46" i="84"/>
  <c r="AO46" i="84"/>
  <c r="AN46" i="84"/>
  <c r="AM46" i="84"/>
  <c r="AL46" i="84"/>
  <c r="AK46" i="84"/>
  <c r="AI46" i="84"/>
  <c r="AH46" i="84"/>
  <c r="AG46" i="84"/>
  <c r="AF46" i="84"/>
  <c r="AE46" i="84"/>
  <c r="AD46" i="84"/>
  <c r="AC46" i="84"/>
  <c r="AB46" i="84"/>
  <c r="AA46" i="84"/>
  <c r="Z46" i="84"/>
  <c r="Y46" i="84"/>
  <c r="X46" i="84"/>
  <c r="W46" i="84"/>
  <c r="V46" i="84"/>
  <c r="U46" i="84"/>
  <c r="T46" i="84"/>
  <c r="S46" i="84"/>
  <c r="R46" i="84"/>
  <c r="Q46" i="84"/>
  <c r="P46" i="84"/>
  <c r="O46" i="84"/>
  <c r="N46" i="84"/>
  <c r="M46" i="84"/>
  <c r="L46" i="84"/>
  <c r="K46" i="84"/>
  <c r="J46" i="84"/>
  <c r="I46" i="84"/>
  <c r="BN41" i="84"/>
  <c r="BM41" i="84"/>
  <c r="BL41" i="84"/>
  <c r="BK41" i="84"/>
  <c r="BJ41" i="84"/>
  <c r="BI41" i="84"/>
  <c r="BH41" i="84"/>
  <c r="BG41" i="84"/>
  <c r="BF41" i="84"/>
  <c r="BE41" i="84"/>
  <c r="BD41" i="84"/>
  <c r="BC41" i="84"/>
  <c r="BB41" i="84"/>
  <c r="BA41" i="84"/>
  <c r="AZ41" i="84"/>
  <c r="AY41" i="84"/>
  <c r="AX41" i="84"/>
  <c r="AW41" i="84"/>
  <c r="AV41" i="84"/>
  <c r="AU41" i="84"/>
  <c r="AT41" i="84"/>
  <c r="AS41" i="84"/>
  <c r="AR41" i="84"/>
  <c r="AQ41" i="84"/>
  <c r="AP41" i="84"/>
  <c r="AO41" i="84"/>
  <c r="AN41" i="84"/>
  <c r="AM41" i="84"/>
  <c r="AL41" i="84"/>
  <c r="AK41" i="84"/>
  <c r="AI41" i="84"/>
  <c r="AH41" i="84"/>
  <c r="AG41" i="84"/>
  <c r="AF41" i="84"/>
  <c r="AE41" i="84"/>
  <c r="AD41" i="84"/>
  <c r="AC41" i="84"/>
  <c r="AB41" i="84"/>
  <c r="AA41" i="84"/>
  <c r="Z41" i="84"/>
  <c r="Y41" i="84"/>
  <c r="X41" i="84"/>
  <c r="W41" i="84"/>
  <c r="V41" i="84"/>
  <c r="U41" i="84"/>
  <c r="T41" i="84"/>
  <c r="S41" i="84"/>
  <c r="R41" i="84"/>
  <c r="Q41" i="84"/>
  <c r="P41" i="84"/>
  <c r="O41" i="84"/>
  <c r="N41" i="84"/>
  <c r="M41" i="84"/>
  <c r="L41" i="84"/>
  <c r="K41" i="84"/>
  <c r="J41" i="84"/>
  <c r="I41" i="84"/>
  <c r="BY40" i="84"/>
  <c r="BN35" i="84"/>
  <c r="BM35" i="84"/>
  <c r="BL35" i="84"/>
  <c r="BK35" i="84"/>
  <c r="BJ35" i="84"/>
  <c r="BI35" i="84"/>
  <c r="BH35" i="84"/>
  <c r="BG35" i="84"/>
  <c r="BF35" i="84"/>
  <c r="BE35" i="84"/>
  <c r="BD35" i="84"/>
  <c r="BC35" i="84"/>
  <c r="BB35" i="84"/>
  <c r="BA35" i="84"/>
  <c r="AZ35" i="84"/>
  <c r="AY35" i="84"/>
  <c r="AX35" i="84"/>
  <c r="AW35" i="84"/>
  <c r="AV35" i="84"/>
  <c r="AU35" i="84"/>
  <c r="AT35" i="84"/>
  <c r="AS35" i="84"/>
  <c r="AR35" i="84"/>
  <c r="AQ35" i="84"/>
  <c r="AP35" i="84"/>
  <c r="AO35" i="84"/>
  <c r="AN35" i="84"/>
  <c r="AM35" i="84"/>
  <c r="AL35" i="84"/>
  <c r="AK35" i="84"/>
  <c r="AI35" i="84"/>
  <c r="AH35" i="84"/>
  <c r="AG35" i="84"/>
  <c r="AF35" i="84"/>
  <c r="AE35" i="84"/>
  <c r="AD35" i="84"/>
  <c r="AC35" i="84"/>
  <c r="AB35" i="84"/>
  <c r="AA35" i="84"/>
  <c r="Z35" i="84"/>
  <c r="Y35" i="84"/>
  <c r="X35" i="84"/>
  <c r="W35" i="84"/>
  <c r="V35" i="84"/>
  <c r="U35" i="84"/>
  <c r="T35" i="84"/>
  <c r="S35" i="84"/>
  <c r="R35" i="84"/>
  <c r="Q35" i="84"/>
  <c r="P35" i="84"/>
  <c r="O35" i="84"/>
  <c r="N35" i="84"/>
  <c r="M35" i="84"/>
  <c r="L35" i="84"/>
  <c r="K35" i="84"/>
  <c r="J35" i="84"/>
  <c r="I35" i="84"/>
  <c r="BN29" i="84"/>
  <c r="BM29" i="84"/>
  <c r="BL29" i="84"/>
  <c r="BK29" i="84"/>
  <c r="BJ29" i="84"/>
  <c r="BI29" i="84"/>
  <c r="BH29" i="84"/>
  <c r="BG29" i="84"/>
  <c r="BF29" i="84"/>
  <c r="BE29" i="84"/>
  <c r="BD29" i="84"/>
  <c r="BC29" i="84"/>
  <c r="BB29" i="84"/>
  <c r="BA29" i="84"/>
  <c r="AZ29" i="84"/>
  <c r="AY29" i="84"/>
  <c r="AX29" i="84"/>
  <c r="AW29" i="84"/>
  <c r="AV29" i="84"/>
  <c r="AU29" i="84"/>
  <c r="AT29" i="84"/>
  <c r="AS29" i="84"/>
  <c r="AR29" i="84"/>
  <c r="AQ29" i="84"/>
  <c r="AP29" i="84"/>
  <c r="AO29" i="84"/>
  <c r="AN29" i="84"/>
  <c r="AM29" i="84"/>
  <c r="AL29" i="84"/>
  <c r="AK29" i="84"/>
  <c r="AI29" i="84"/>
  <c r="AH29" i="84"/>
  <c r="AG29" i="84"/>
  <c r="AF29" i="84"/>
  <c r="AE29" i="84"/>
  <c r="AD29" i="84"/>
  <c r="AC29" i="84"/>
  <c r="AB29" i="84"/>
  <c r="AA29" i="84"/>
  <c r="Z29" i="84"/>
  <c r="Y29" i="84"/>
  <c r="X29" i="84"/>
  <c r="W29" i="84"/>
  <c r="V29" i="84"/>
  <c r="U29" i="84"/>
  <c r="T29" i="84"/>
  <c r="S29" i="84"/>
  <c r="R29" i="84"/>
  <c r="Q29" i="84"/>
  <c r="P29" i="84"/>
  <c r="O29" i="84"/>
  <c r="N29" i="84"/>
  <c r="M29" i="84"/>
  <c r="L29" i="84"/>
  <c r="K29" i="84"/>
  <c r="J29" i="84"/>
  <c r="I29" i="84"/>
  <c r="AJ28" i="84"/>
  <c r="AJ27" i="84"/>
  <c r="AJ26" i="84"/>
  <c r="AJ25" i="84"/>
  <c r="AJ24" i="84"/>
  <c r="BR23" i="84"/>
  <c r="BQ23" i="84"/>
  <c r="BP23" i="84"/>
  <c r="BO23" i="84"/>
  <c r="BN23" i="84"/>
  <c r="BM23" i="84"/>
  <c r="BL23" i="84"/>
  <c r="BK23" i="84"/>
  <c r="BJ23" i="84"/>
  <c r="BI23" i="84"/>
  <c r="BH23" i="84"/>
  <c r="BG23" i="84"/>
  <c r="BF23" i="84"/>
  <c r="BE23" i="84"/>
  <c r="BD23" i="84"/>
  <c r="BC23" i="84"/>
  <c r="BB23" i="84"/>
  <c r="BA23" i="84"/>
  <c r="AZ23" i="84"/>
  <c r="AY23" i="84"/>
  <c r="AX23" i="84"/>
  <c r="AW23" i="84"/>
  <c r="AV23" i="84"/>
  <c r="AU23" i="84"/>
  <c r="AT23" i="84"/>
  <c r="AS23" i="84"/>
  <c r="AR23" i="84"/>
  <c r="AQ23" i="84"/>
  <c r="AP23" i="84"/>
  <c r="AO23" i="84"/>
  <c r="AN23" i="84"/>
  <c r="AM23" i="84"/>
  <c r="AL23" i="84"/>
  <c r="AK23" i="84"/>
  <c r="AI23" i="84"/>
  <c r="AH23" i="84"/>
  <c r="AG23" i="84"/>
  <c r="AF23" i="84"/>
  <c r="AE23" i="84"/>
  <c r="AD23" i="84"/>
  <c r="AC23" i="84"/>
  <c r="AB23" i="84"/>
  <c r="AA23" i="84"/>
  <c r="Z23" i="84"/>
  <c r="Y23" i="84"/>
  <c r="X23" i="84"/>
  <c r="W23" i="84"/>
  <c r="V23" i="84"/>
  <c r="U23" i="84"/>
  <c r="T23" i="84"/>
  <c r="S23" i="84"/>
  <c r="R23" i="84"/>
  <c r="Q23" i="84"/>
  <c r="P23" i="84"/>
  <c r="O23" i="84"/>
  <c r="N23" i="84"/>
  <c r="M23" i="84"/>
  <c r="L23" i="84"/>
  <c r="K23" i="84"/>
  <c r="J23" i="84"/>
  <c r="I23" i="84"/>
  <c r="BY22" i="84"/>
  <c r="AJ22" i="84"/>
  <c r="BY21" i="84"/>
  <c r="AJ21" i="84"/>
  <c r="BY20" i="84"/>
  <c r="AJ20" i="84"/>
  <c r="BY19" i="84"/>
  <c r="AJ19" i="84"/>
  <c r="BY18" i="84"/>
  <c r="AJ18" i="84"/>
  <c r="BP17" i="84"/>
  <c r="BO17" i="84"/>
  <c r="BN17" i="84"/>
  <c r="BM17" i="84"/>
  <c r="BL17" i="84"/>
  <c r="BK17" i="84"/>
  <c r="BJ17" i="84"/>
  <c r="BI17" i="84"/>
  <c r="BH17" i="84"/>
  <c r="BG17" i="84"/>
  <c r="BF17" i="84"/>
  <c r="BE17" i="84"/>
  <c r="BD17" i="84"/>
  <c r="BC17" i="84"/>
  <c r="BB17" i="84"/>
  <c r="BA17" i="84"/>
  <c r="AZ17" i="84"/>
  <c r="AY17" i="84"/>
  <c r="AX17" i="84"/>
  <c r="AW17" i="84"/>
  <c r="AV17" i="84"/>
  <c r="AU17" i="84"/>
  <c r="AT17" i="84"/>
  <c r="AS17" i="84"/>
  <c r="AR17" i="84"/>
  <c r="AQ17" i="84"/>
  <c r="AP17" i="84"/>
  <c r="AO17" i="84"/>
  <c r="AN17" i="84"/>
  <c r="AM17" i="84"/>
  <c r="AL17" i="84"/>
  <c r="AK17" i="84"/>
  <c r="AI17" i="84"/>
  <c r="AH17" i="84"/>
  <c r="AG17" i="84"/>
  <c r="AF17" i="84"/>
  <c r="AE17" i="84"/>
  <c r="AD17" i="84"/>
  <c r="AC17" i="84"/>
  <c r="AB17" i="84"/>
  <c r="AA17" i="84"/>
  <c r="Z17" i="84"/>
  <c r="Y17" i="84"/>
  <c r="X17" i="84"/>
  <c r="W17" i="84"/>
  <c r="V17" i="84"/>
  <c r="U17" i="84"/>
  <c r="T17" i="84"/>
  <c r="S17" i="84"/>
  <c r="R17" i="84"/>
  <c r="Q17" i="84"/>
  <c r="P17" i="84"/>
  <c r="O17" i="84"/>
  <c r="N17" i="84"/>
  <c r="M17" i="84"/>
  <c r="L17" i="84"/>
  <c r="K17" i="84"/>
  <c r="J17" i="84"/>
  <c r="I17" i="84"/>
  <c r="BR16" i="84"/>
  <c r="BQ16" i="84"/>
  <c r="AJ16" i="84"/>
  <c r="AJ15" i="84"/>
  <c r="BR14" i="84"/>
  <c r="BQ14" i="84"/>
  <c r="AJ14" i="84"/>
  <c r="BR12" i="84"/>
  <c r="BQ12" i="84"/>
  <c r="AJ12" i="84"/>
  <c r="BR11" i="84"/>
  <c r="BQ11" i="84"/>
  <c r="AJ11" i="84"/>
  <c r="BR10" i="84"/>
  <c r="BQ10" i="84"/>
  <c r="AJ10" i="84"/>
  <c r="BR9" i="84"/>
  <c r="BQ9" i="84"/>
  <c r="AJ9" i="84"/>
  <c r="AJ8" i="84"/>
  <c r="BR7" i="84"/>
  <c r="BQ7" i="84"/>
  <c r="AJ7" i="84"/>
  <c r="BQ6" i="84"/>
  <c r="AJ6" i="84"/>
  <c r="F37" i="77" l="1"/>
  <c r="F50" i="77"/>
  <c r="F59" i="77"/>
  <c r="J16" i="93"/>
  <c r="F17" i="93"/>
  <c r="F18" i="93" s="1"/>
  <c r="F19" i="93" s="1"/>
  <c r="F20" i="93" s="1"/>
  <c r="F21" i="93" s="1"/>
  <c r="G23" i="43"/>
  <c r="D51" i="75"/>
  <c r="D55" i="75"/>
  <c r="D59" i="75"/>
  <c r="E76" i="77"/>
  <c r="F22" i="77"/>
  <c r="F23" i="77"/>
  <c r="E24" i="77"/>
  <c r="F60" i="77"/>
  <c r="F79" i="77"/>
  <c r="F80" i="77" s="1"/>
  <c r="F81" i="77" s="1"/>
  <c r="F82" i="77" s="1"/>
  <c r="F83" i="77" s="1"/>
  <c r="F84" i="77" s="1"/>
  <c r="F85" i="77" s="1"/>
  <c r="F86" i="77" s="1"/>
  <c r="F87" i="77" s="1"/>
  <c r="F88" i="77" s="1"/>
  <c r="L40" i="103"/>
  <c r="E40" i="103"/>
  <c r="G75" i="43"/>
  <c r="G88" i="81"/>
  <c r="C69" i="81" s="1"/>
  <c r="G49" i="71"/>
  <c r="D96" i="74"/>
  <c r="D87" i="74"/>
  <c r="G88" i="71"/>
  <c r="G62" i="71"/>
  <c r="G75" i="71"/>
  <c r="G49" i="101"/>
  <c r="L181" i="42"/>
  <c r="L180" i="42"/>
  <c r="J180" i="42"/>
  <c r="J181" i="42"/>
  <c r="E89" i="77"/>
  <c r="J17" i="93"/>
  <c r="G18" i="93"/>
  <c r="G19" i="93" s="1"/>
  <c r="F65" i="77"/>
  <c r="F66" i="77" s="1"/>
  <c r="F67" i="77" s="1"/>
  <c r="F68" i="77" s="1"/>
  <c r="F69" i="77" s="1"/>
  <c r="F70" i="77" s="1"/>
  <c r="F71" i="77" s="1"/>
  <c r="F72" i="77" s="1"/>
  <c r="F73" i="77" s="1"/>
  <c r="F74" i="77" s="1"/>
  <c r="F75" i="77" s="1"/>
  <c r="F53" i="77"/>
  <c r="F57" i="77"/>
  <c r="F61" i="77"/>
  <c r="F52" i="77"/>
  <c r="F54" i="77"/>
  <c r="F56" i="77"/>
  <c r="F58" i="77"/>
  <c r="F62" i="77"/>
  <c r="E63" i="77"/>
  <c r="F51" i="77"/>
  <c r="F55" i="77"/>
  <c r="F18" i="77"/>
  <c r="F24" i="77" s="1"/>
  <c r="F20" i="77"/>
  <c r="D50" i="75"/>
  <c r="D54" i="75"/>
  <c r="D58" i="75"/>
  <c r="D53" i="75"/>
  <c r="D57" i="75"/>
  <c r="D63" i="75"/>
  <c r="D52" i="75"/>
  <c r="D56" i="75"/>
  <c r="D60" i="75"/>
  <c r="D95" i="74"/>
  <c r="D77" i="74"/>
  <c r="D79" i="74"/>
  <c r="D83" i="74"/>
  <c r="D85" i="74"/>
  <c r="BY7" i="84"/>
  <c r="BY9" i="84"/>
  <c r="BY14" i="84"/>
  <c r="BY16" i="84"/>
  <c r="BY41" i="84"/>
  <c r="BY12" i="84"/>
  <c r="I180" i="42"/>
  <c r="I181" i="42"/>
  <c r="BQ17" i="84"/>
  <c r="BY11" i="84"/>
  <c r="BY10" i="84"/>
  <c r="H29" i="100"/>
  <c r="E90" i="77"/>
  <c r="F92" i="77"/>
  <c r="F93" i="77" s="1"/>
  <c r="F94" i="77" s="1"/>
  <c r="F95" i="77" s="1"/>
  <c r="F96" i="77" s="1"/>
  <c r="F97" i="77" s="1"/>
  <c r="F98" i="77" s="1"/>
  <c r="F99" i="77" s="1"/>
  <c r="F100" i="77" s="1"/>
  <c r="F101" i="77" s="1"/>
  <c r="F102" i="77" s="1"/>
  <c r="F103" i="77" s="1"/>
  <c r="D78" i="74"/>
  <c r="D86" i="74"/>
  <c r="G36" i="43"/>
  <c r="G49" i="43"/>
  <c r="G62" i="43"/>
  <c r="G88" i="43"/>
  <c r="C73" i="101"/>
  <c r="E163" i="42"/>
  <c r="F159" i="42"/>
  <c r="S98" i="101"/>
  <c r="Q101" i="101"/>
  <c r="L155" i="42"/>
  <c r="F163" i="42"/>
  <c r="C77" i="101"/>
  <c r="H99" i="101"/>
  <c r="B99" i="101" s="1"/>
  <c r="K98" i="101"/>
  <c r="E98" i="101" s="1"/>
  <c r="J103" i="42"/>
  <c r="F175" i="42"/>
  <c r="J99" i="101"/>
  <c r="J155" i="42"/>
  <c r="E177" i="42"/>
  <c r="S100" i="101"/>
  <c r="D177" i="42"/>
  <c r="M101" i="42"/>
  <c r="E161" i="42"/>
  <c r="D175" i="42"/>
  <c r="M98" i="101"/>
  <c r="Q99" i="101"/>
  <c r="G103" i="42"/>
  <c r="D163" i="42"/>
  <c r="M106" i="42"/>
  <c r="E176" i="42"/>
  <c r="K92" i="101"/>
  <c r="E92" i="101" s="1"/>
  <c r="O98" i="101"/>
  <c r="B98" i="101" s="1"/>
  <c r="M100" i="101"/>
  <c r="I101" i="101"/>
  <c r="M77" i="42"/>
  <c r="D103" i="42"/>
  <c r="H103" i="42"/>
  <c r="F103" i="42"/>
  <c r="I157" i="42"/>
  <c r="I158" i="42" s="1"/>
  <c r="P98" i="101"/>
  <c r="H94" i="101"/>
  <c r="B94" i="101" s="1"/>
  <c r="M153" i="42"/>
  <c r="M99" i="42"/>
  <c r="B103" i="42"/>
  <c r="M104" i="42"/>
  <c r="I99" i="101"/>
  <c r="P99" i="101"/>
  <c r="U99" i="101"/>
  <c r="K99" i="101"/>
  <c r="G162" i="42"/>
  <c r="D158" i="42"/>
  <c r="D159" i="42"/>
  <c r="M105" i="42"/>
  <c r="D176" i="42"/>
  <c r="H92" i="101"/>
  <c r="B92" i="101" s="1"/>
  <c r="M97" i="42"/>
  <c r="L103" i="42"/>
  <c r="M155" i="42"/>
  <c r="G175" i="42"/>
  <c r="BR6" i="84"/>
  <c r="BR17" i="84" s="1"/>
  <c r="M107" i="42"/>
  <c r="J153" i="42"/>
  <c r="M101" i="101"/>
  <c r="M90" i="42"/>
  <c r="M102" i="42"/>
  <c r="N100" i="101"/>
  <c r="B100" i="101" s="1"/>
  <c r="F176" i="42"/>
  <c r="G176" i="42"/>
  <c r="H157" i="42"/>
  <c r="H158" i="42" s="1"/>
  <c r="C103" i="42"/>
  <c r="L153" i="42"/>
  <c r="E175" i="42"/>
  <c r="K100" i="101"/>
  <c r="E100" i="101" s="1"/>
  <c r="N101" i="101"/>
  <c r="B101" i="101" s="1"/>
  <c r="E158" i="42"/>
  <c r="F177" i="42"/>
  <c r="M98" i="42"/>
  <c r="M100" i="42"/>
  <c r="E103" i="42"/>
  <c r="G157" i="42"/>
  <c r="G158" i="42" s="1"/>
  <c r="D161" i="42"/>
  <c r="I100" i="101"/>
  <c r="C100" i="101" s="1"/>
  <c r="K101" i="101"/>
  <c r="E101" i="101" s="1"/>
  <c r="F161" i="42"/>
  <c r="P100" i="101"/>
  <c r="E87" i="101"/>
  <c r="X94" i="101"/>
  <c r="J101" i="101"/>
  <c r="C95" i="101"/>
  <c r="C86" i="101"/>
  <c r="B88" i="101"/>
  <c r="E89" i="101"/>
  <c r="H81" i="43"/>
  <c r="C85" i="101"/>
  <c r="C72" i="101"/>
  <c r="B73" i="101"/>
  <c r="C82" i="101"/>
  <c r="E75" i="101"/>
  <c r="C80" i="101"/>
  <c r="F97" i="101"/>
  <c r="G97" i="101" s="1"/>
  <c r="E79" i="101"/>
  <c r="C84" i="101"/>
  <c r="C94" i="101"/>
  <c r="M25" i="42"/>
  <c r="M51" i="42"/>
  <c r="E71" i="101"/>
  <c r="B76" i="101"/>
  <c r="B83" i="101"/>
  <c r="B95" i="101"/>
  <c r="X95" i="101"/>
  <c r="C76" i="101"/>
  <c r="C81" i="101"/>
  <c r="C83" i="101"/>
  <c r="C98" i="101"/>
  <c r="BY23" i="84"/>
  <c r="H181" i="42"/>
  <c r="H180" i="42"/>
  <c r="M38" i="42"/>
  <c r="M64" i="42"/>
  <c r="J19" i="100"/>
  <c r="N19" i="100" s="1"/>
  <c r="N29" i="100" s="1"/>
  <c r="F22" i="93"/>
  <c r="C98" i="75"/>
  <c r="G95" i="75"/>
  <c r="G98" i="75"/>
  <c r="D94" i="74"/>
  <c r="D91" i="74"/>
  <c r="D93" i="74"/>
  <c r="D80" i="74"/>
  <c r="D82" i="74"/>
  <c r="G90" i="72"/>
  <c r="B72" i="101"/>
  <c r="B82" i="101"/>
  <c r="B86" i="101"/>
  <c r="B81" i="101"/>
  <c r="B85" i="101"/>
  <c r="E88" i="101"/>
  <c r="B71" i="101"/>
  <c r="B74" i="101"/>
  <c r="E74" i="101"/>
  <c r="B75" i="101"/>
  <c r="B77" i="101"/>
  <c r="E77" i="101"/>
  <c r="B80" i="101"/>
  <c r="B84" i="101"/>
  <c r="F93" i="101"/>
  <c r="G93" i="101" s="1"/>
  <c r="C75" i="101"/>
  <c r="C74" i="101"/>
  <c r="C79" i="101"/>
  <c r="E81" i="101"/>
  <c r="E85" i="101"/>
  <c r="E86" i="101"/>
  <c r="E72" i="101"/>
  <c r="B78" i="101"/>
  <c r="C78" i="101"/>
  <c r="E78" i="101"/>
  <c r="B79" i="101"/>
  <c r="F90" i="101"/>
  <c r="G90" i="101" s="1"/>
  <c r="E95" i="101"/>
  <c r="F96" i="101"/>
  <c r="G96" i="101" s="1"/>
  <c r="E80" i="101"/>
  <c r="E82" i="101"/>
  <c r="E83" i="101"/>
  <c r="E84" i="101"/>
  <c r="C88" i="101"/>
  <c r="C71" i="101"/>
  <c r="E73" i="101"/>
  <c r="E76" i="101"/>
  <c r="B87" i="101"/>
  <c r="C87" i="101"/>
  <c r="E94" i="101"/>
  <c r="B89" i="101"/>
  <c r="C89" i="101"/>
  <c r="F91" i="101"/>
  <c r="G91" i="101" s="1"/>
  <c r="N83" i="42"/>
  <c r="AJ29" i="84"/>
  <c r="AJ17" i="84"/>
  <c r="BY17" i="84"/>
  <c r="AJ23" i="84"/>
  <c r="BY46" i="84"/>
  <c r="G89" i="72"/>
  <c r="B98" i="75"/>
  <c r="B95" i="75"/>
  <c r="D81" i="74"/>
  <c r="D84" i="74"/>
  <c r="D89" i="74"/>
  <c r="D92" i="74"/>
  <c r="D97" i="74"/>
  <c r="C93" i="75"/>
  <c r="D93" i="75" s="1"/>
  <c r="G93" i="75"/>
  <c r="C95" i="75"/>
  <c r="G184" i="42" l="1"/>
  <c r="G185" i="42"/>
  <c r="G183" i="42"/>
  <c r="J18" i="93"/>
  <c r="F76" i="77"/>
  <c r="F89" i="77" s="1"/>
  <c r="F90" i="77" s="1"/>
  <c r="F63" i="77"/>
  <c r="F104" i="77"/>
  <c r="F105" i="77" s="1"/>
  <c r="F106" i="77" s="1"/>
  <c r="D98" i="75"/>
  <c r="E165" i="42"/>
  <c r="E166" i="42" s="1"/>
  <c r="C101" i="101"/>
  <c r="F101" i="101" s="1"/>
  <c r="F179" i="42"/>
  <c r="F181" i="42" s="1"/>
  <c r="E99" i="101"/>
  <c r="X100" i="101"/>
  <c r="X98" i="101"/>
  <c r="C99" i="101"/>
  <c r="D179" i="42"/>
  <c r="D181" i="42" s="1"/>
  <c r="F82" i="101"/>
  <c r="G82" i="101" s="1"/>
  <c r="G163" i="42"/>
  <c r="F94" i="101"/>
  <c r="G94" i="101" s="1"/>
  <c r="X101" i="101"/>
  <c r="G179" i="42"/>
  <c r="G181" i="42" s="1"/>
  <c r="F92" i="101"/>
  <c r="G92" i="101" s="1"/>
  <c r="X99" i="101"/>
  <c r="I159" i="42"/>
  <c r="G180" i="42"/>
  <c r="F165" i="42"/>
  <c r="F166" i="42" s="1"/>
  <c r="BY6" i="84"/>
  <c r="F84" i="101"/>
  <c r="G84" i="101" s="1"/>
  <c r="G159" i="42"/>
  <c r="M103" i="42"/>
  <c r="L157" i="42"/>
  <c r="L158" i="42" s="1"/>
  <c r="J157" i="42"/>
  <c r="J158" i="42" s="1"/>
  <c r="E179" i="42"/>
  <c r="E180" i="42" s="1"/>
  <c r="F76" i="101"/>
  <c r="G76" i="101" s="1"/>
  <c r="F72" i="101"/>
  <c r="G72" i="101" s="1"/>
  <c r="D165" i="42"/>
  <c r="D166" i="42" s="1"/>
  <c r="G161" i="42"/>
  <c r="E167" i="42"/>
  <c r="H159" i="42"/>
  <c r="M157" i="42"/>
  <c r="M158" i="42" s="1"/>
  <c r="F83" i="101"/>
  <c r="G83" i="101" s="1"/>
  <c r="F73" i="101"/>
  <c r="G73" i="101" s="1"/>
  <c r="F71" i="101"/>
  <c r="G71" i="101" s="1"/>
  <c r="F86" i="101"/>
  <c r="G86" i="101" s="1"/>
  <c r="F89" i="101"/>
  <c r="G89" i="101" s="1"/>
  <c r="F81" i="101"/>
  <c r="G81" i="101" s="1"/>
  <c r="F75" i="101"/>
  <c r="G75" i="101" s="1"/>
  <c r="F88" i="101"/>
  <c r="G88" i="101" s="1"/>
  <c r="F80" i="101"/>
  <c r="G80" i="101" s="1"/>
  <c r="F95" i="101"/>
  <c r="G95" i="101" s="1"/>
  <c r="F85" i="101"/>
  <c r="G85" i="101" s="1"/>
  <c r="F74" i="101"/>
  <c r="G74" i="101" s="1"/>
  <c r="F77" i="101"/>
  <c r="G77" i="101" s="1"/>
  <c r="F98" i="101"/>
  <c r="G98" i="101" s="1"/>
  <c r="J19" i="93"/>
  <c r="G20" i="93"/>
  <c r="F23" i="93"/>
  <c r="D95" i="75"/>
  <c r="F100" i="101"/>
  <c r="G100" i="101" s="1"/>
  <c r="F79" i="101"/>
  <c r="G79" i="101" s="1"/>
  <c r="F87" i="101"/>
  <c r="G87" i="101" s="1"/>
  <c r="F78" i="101"/>
  <c r="G78" i="101" s="1"/>
  <c r="G187" i="42" l="1"/>
  <c r="G189" i="42" s="1"/>
  <c r="F107" i="77"/>
  <c r="F109" i="77" s="1"/>
  <c r="F108" i="77"/>
  <c r="F99" i="101"/>
  <c r="G99" i="101" s="1"/>
  <c r="L159" i="42"/>
  <c r="F180" i="42"/>
  <c r="D180" i="42"/>
  <c r="J159" i="42"/>
  <c r="E181" i="42"/>
  <c r="F167" i="42"/>
  <c r="G165" i="42"/>
  <c r="G166" i="42" s="1"/>
  <c r="M159" i="42"/>
  <c r="D167" i="42"/>
  <c r="G21" i="93"/>
  <c r="J20" i="93"/>
  <c r="F24" i="93"/>
  <c r="Y79" i="101"/>
  <c r="G101" i="101"/>
  <c r="G188" i="42" l="1"/>
  <c r="G167" i="42"/>
  <c r="F25" i="93"/>
  <c r="G22" i="93"/>
  <c r="J21" i="93"/>
  <c r="G23" i="93" l="1"/>
  <c r="J22" i="93"/>
  <c r="F26" i="93"/>
  <c r="F27" i="93" l="1"/>
  <c r="G24" i="93"/>
  <c r="J23" i="93"/>
  <c r="G25" i="93" l="1"/>
  <c r="J24" i="93"/>
  <c r="F28" i="93"/>
  <c r="F29" i="93" l="1"/>
  <c r="G26" i="93"/>
  <c r="J25" i="93"/>
  <c r="G27" i="93" l="1"/>
  <c r="J26" i="93"/>
  <c r="F30" i="93"/>
  <c r="F31" i="93" l="1"/>
  <c r="G28" i="93"/>
  <c r="J27" i="93"/>
  <c r="G29" i="93" l="1"/>
  <c r="J28" i="93"/>
  <c r="F32" i="93"/>
  <c r="G30" i="93" l="1"/>
  <c r="J29" i="93"/>
  <c r="G31" i="93" l="1"/>
  <c r="J30" i="93"/>
  <c r="G32" i="93" l="1"/>
  <c r="J32" i="93" s="1"/>
  <c r="J31"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TOBIAS VERDUGO ISRAEL</author>
  </authors>
  <commentList>
    <comment ref="L64" authorId="0" shapeId="0" xr:uid="{00000000-0006-0000-1A00-000001000000}">
      <text>
        <r>
          <rPr>
            <b/>
            <sz val="9"/>
            <color indexed="81"/>
            <rFont val="Tahoma"/>
            <family val="2"/>
          </rPr>
          <t>Analista Se tiene un porcentaje menor debido a que se recibio una transferencia</t>
        </r>
      </text>
    </comment>
    <comment ref="M64" authorId="0" shapeId="0" xr:uid="{00000000-0006-0000-1A00-000002000000}">
      <text>
        <r>
          <rPr>
            <b/>
            <sz val="9"/>
            <color indexed="81"/>
            <rFont val="Tahoma"/>
            <family val="2"/>
          </rPr>
          <t>Analista Se tiene un porcentaje menor debido a que se recibio una transferencia</t>
        </r>
      </text>
    </comment>
    <comment ref="I65" authorId="0" shapeId="0" xr:uid="{00000000-0006-0000-1A00-000003000000}">
      <text>
        <r>
          <rPr>
            <b/>
            <sz val="9"/>
            <color indexed="81"/>
            <rFont val="Tahoma"/>
            <family val="2"/>
          </rPr>
          <t xml:space="preserve">
descenso debido a la conciliacion de saldos </t>
        </r>
      </text>
    </comment>
    <comment ref="K66" authorId="0" shapeId="0" xr:uid="{00000000-0006-0000-1A00-000004000000}">
      <text>
        <r>
          <rPr>
            <b/>
            <sz val="9"/>
            <color indexed="81"/>
            <rFont val="Tahoma"/>
            <family val="2"/>
          </rPr>
          <t>conciliacion de saldos</t>
        </r>
      </text>
    </comment>
    <comment ref="L66" authorId="0" shapeId="0" xr:uid="{00000000-0006-0000-1A00-000005000000}">
      <text>
        <r>
          <rPr>
            <b/>
            <sz val="9"/>
            <color indexed="81"/>
            <rFont val="Tahoma"/>
            <family val="2"/>
          </rPr>
          <t>Conciliacion de saldos</t>
        </r>
      </text>
    </comment>
    <comment ref="M66" authorId="0" shapeId="0" xr:uid="{00000000-0006-0000-1A00-000006000000}">
      <text>
        <r>
          <rPr>
            <b/>
            <sz val="9"/>
            <color indexed="81"/>
            <rFont val="Tahoma"/>
            <family val="2"/>
          </rPr>
          <t>conciliaicon de saldos</t>
        </r>
      </text>
    </comment>
    <comment ref="D73" authorId="0" shapeId="0" xr:uid="{00000000-0006-0000-1A00-000007000000}">
      <text>
        <r>
          <rPr>
            <b/>
            <sz val="9"/>
            <color indexed="81"/>
            <rFont val="Tahoma"/>
            <family val="2"/>
          </rPr>
          <t>Ingreso de nuevo proceso con saldos</t>
        </r>
        <r>
          <rPr>
            <sz val="9"/>
            <color indexed="81"/>
            <rFont val="Tahoma"/>
            <family val="2"/>
          </rPr>
          <t xml:space="preserve">
</t>
        </r>
      </text>
    </comment>
    <comment ref="E73" authorId="0" shapeId="0" xr:uid="{00000000-0006-0000-1A00-000008000000}">
      <text>
        <r>
          <rPr>
            <b/>
            <sz val="9"/>
            <color indexed="81"/>
            <rFont val="Tahoma"/>
            <family val="2"/>
          </rPr>
          <t>Ingreso de nuevo proceso con saldos</t>
        </r>
        <r>
          <rPr>
            <sz val="9"/>
            <color indexed="81"/>
            <rFont val="Tahoma"/>
            <family val="2"/>
          </rPr>
          <t xml:space="preserve">
</t>
        </r>
      </text>
    </comment>
    <comment ref="J73" authorId="0" shapeId="0" xr:uid="{00000000-0006-0000-1A00-000009000000}">
      <text>
        <r>
          <rPr>
            <b/>
            <sz val="9"/>
            <color indexed="81"/>
            <rFont val="Tahoma"/>
            <family val="2"/>
          </rPr>
          <t>Ingreso de nuevo proceso con saldos</t>
        </r>
      </text>
    </comment>
    <comment ref="K73" authorId="0" shapeId="0" xr:uid="{00000000-0006-0000-1A00-00000A000000}">
      <text>
        <r>
          <rPr>
            <b/>
            <sz val="9"/>
            <color indexed="81"/>
            <rFont val="Tahoma"/>
            <family val="2"/>
          </rPr>
          <t>Ingreso de nuevo proceso con saldos</t>
        </r>
      </text>
    </comment>
  </commentList>
</comments>
</file>

<file path=xl/sharedStrings.xml><?xml version="1.0" encoding="utf-8"?>
<sst xmlns="http://schemas.openxmlformats.org/spreadsheetml/2006/main" count="1787" uniqueCount="890">
  <si>
    <t>Residencial</t>
  </si>
  <si>
    <t>Comercial</t>
  </si>
  <si>
    <t>Industrial</t>
  </si>
  <si>
    <t>A. Público</t>
  </si>
  <si>
    <t>Otros</t>
  </si>
  <si>
    <t>Total</t>
  </si>
  <si>
    <t>TOTAL/11</t>
  </si>
  <si>
    <t>INDICADORES DE GESTIÓN</t>
  </si>
  <si>
    <t>Unidad de medida</t>
  </si>
  <si>
    <t>Fuente de los Datos</t>
  </si>
  <si>
    <t>MWh</t>
  </si>
  <si>
    <t>Fórmula</t>
  </si>
  <si>
    <t>Mensual</t>
  </si>
  <si>
    <t>FACTURACIÓN POR ENERGÍA CONSUMIDA</t>
  </si>
  <si>
    <t>Valor total facturado</t>
  </si>
  <si>
    <t>Mensual (año móvil)</t>
  </si>
  <si>
    <t>Periodicidad</t>
  </si>
  <si>
    <t>Definición breve</t>
  </si>
  <si>
    <t>Nombre</t>
  </si>
  <si>
    <t>RECAUDACIÓN POR VENTA DE ENERGÍA</t>
  </si>
  <si>
    <t>Valor total recaudado</t>
  </si>
  <si>
    <t>Observaciones</t>
  </si>
  <si>
    <t>Recaudación</t>
  </si>
  <si>
    <t>Facturación</t>
  </si>
  <si>
    <t>Índice</t>
  </si>
  <si>
    <t>PORCENTAJE DE RECAUDACIÓN POR VENTA DE ENERGÍA</t>
  </si>
  <si>
    <t>(Recaudación venta de energía / Facturación venta de energía) * 100</t>
  </si>
  <si>
    <t>CARTERA VENCIDA</t>
  </si>
  <si>
    <t>Cartera Vencida mayor a 30 días</t>
  </si>
  <si>
    <t>Número de Clientes</t>
  </si>
  <si>
    <t>%</t>
  </si>
  <si>
    <t>TTIk_red=(sumatoria de (kVA instalados del alimentador multiplicado por el tiempo de desconexión de cada alimentador primario de distribución))/(kVAinstalado de la red)</t>
  </si>
  <si>
    <t>ENE</t>
  </si>
  <si>
    <t>FEB</t>
  </si>
  <si>
    <t>MAR</t>
  </si>
  <si>
    <t>ABR</t>
  </si>
  <si>
    <t>MAY</t>
  </si>
  <si>
    <t>JUN</t>
  </si>
  <si>
    <t>JUL</t>
  </si>
  <si>
    <t>AGO</t>
  </si>
  <si>
    <t>SEP</t>
  </si>
  <si>
    <t>OCT</t>
  </si>
  <si>
    <t>NOV</t>
  </si>
  <si>
    <t>DIC</t>
  </si>
  <si>
    <t>Tipo</t>
  </si>
  <si>
    <t>NÚMERO DE CLIENTES</t>
  </si>
  <si>
    <t>Número</t>
  </si>
  <si>
    <t>Tarifa Dignidad</t>
  </si>
  <si>
    <t>NÚMERO DE CONTADORES DE ENERGÍA</t>
  </si>
  <si>
    <t>Mes</t>
  </si>
  <si>
    <t>Valores Año Móvil</t>
  </si>
  <si>
    <t>Valores Mensuales</t>
  </si>
  <si>
    <t>Mes /
Valor</t>
  </si>
  <si>
    <t>Gráfico - Indicador Mensual</t>
  </si>
  <si>
    <t>Sector Público</t>
  </si>
  <si>
    <t>Sector Privado</t>
  </si>
  <si>
    <t>MES / TARIFA</t>
  </si>
  <si>
    <t>Cartera Vencida [$]</t>
  </si>
  <si>
    <t xml:space="preserve">Nombre: </t>
  </si>
  <si>
    <t>Definición breve:</t>
  </si>
  <si>
    <t>Horas</t>
  </si>
  <si>
    <t>Objetivos y metas:</t>
  </si>
  <si>
    <t>Método de medición</t>
  </si>
  <si>
    <t>Definiciones y conceptos</t>
  </si>
  <si>
    <t>TTIK =  Tiempo total de Interrupción por kVA nominal instalado, expresado en horas por kVA.
kVAfs =  Cantidad de kVA nominales fuera de servicio en cada una de las interrupciones “i”.
kVAinst = Cantidad de kVA nominales instalados.
Tfs   = Tiempo fuera de servicio, para la interrupción “i”.
Rd    =  Red de distribución global.</t>
  </si>
  <si>
    <t>Periodicidad:</t>
  </si>
  <si>
    <t>Justificación</t>
  </si>
  <si>
    <t>Objetivo Estratégico</t>
  </si>
  <si>
    <t>Indicador</t>
  </si>
  <si>
    <t>RESULTADO</t>
  </si>
  <si>
    <t>MES</t>
  </si>
  <si>
    <t>Situación / Tendencia</t>
  </si>
  <si>
    <t>Grado de cumplimiento</t>
  </si>
  <si>
    <t>TTIK</t>
  </si>
  <si>
    <t>Frecuencia media de interrupción por kVA instalado en el sistema de media tensión, calculado de acuerdo a la regulación CONELEC 004/01</t>
  </si>
  <si>
    <t>FMIK</t>
  </si>
  <si>
    <t>Clientes regulados que cuentan con servicio de energía eléctrica</t>
  </si>
  <si>
    <t>Definición</t>
  </si>
  <si>
    <t>Nivel de desagregación</t>
  </si>
  <si>
    <t>Cantidad de energía eléctrica facturada a los usuarios</t>
  </si>
  <si>
    <t>Total de energía eléctrica facturada por grupo de consumo  (Regulados y No Regulados)</t>
  </si>
  <si>
    <t>Medida</t>
  </si>
  <si>
    <t>Alumbrado Público</t>
  </si>
  <si>
    <t>Valor facturado en dólares por venta de energía</t>
  </si>
  <si>
    <t>Valor Total Facturado</t>
  </si>
  <si>
    <t>USD</t>
  </si>
  <si>
    <t>Valores monetarios recaudados por concepto de venta de energía de las distribuidoras, sin incluir impuestos</t>
  </si>
  <si>
    <t>Valor Total Recaudado</t>
  </si>
  <si>
    <t>Porcentaje de Recaudación</t>
  </si>
  <si>
    <t>Es el cociente entre los valores monetarios recaudados y facturados por servicio eléctrico, incluye los valores por alumbrado público</t>
  </si>
  <si>
    <t>(Recaudación venta de energía/ Facturación venta de energía)*100%</t>
  </si>
  <si>
    <t>Empresa</t>
  </si>
  <si>
    <t>Cartera Vencida</t>
  </si>
  <si>
    <t>Porcentaje de Pérdidas de Energía en Distribución</t>
  </si>
  <si>
    <t>((Energía disponible  - Energía entregada)/Energía disponible) x 100.</t>
  </si>
  <si>
    <t>Calidad de Servicio Eléctrico</t>
  </si>
  <si>
    <t>FMIk_red=(sumatoria de (kVA instalados del alimentador multiplicado por el número de veces que quedó fuera de servicio dicho alimentador))/(kVAinstalado de la red)</t>
  </si>
  <si>
    <t>Número total de medidores instalados (nuevos usuarios)</t>
  </si>
  <si>
    <t>Total medidores instalados a nuevos usuarios</t>
  </si>
  <si>
    <t># total de medidores</t>
  </si>
  <si>
    <t>Clientes regulados y no regulados que cuentan con servicio de energía eléctrica.</t>
  </si>
  <si>
    <t>Sumatoria de clientes  en cada grupo de consumo.</t>
  </si>
  <si>
    <t>Sumatoria de trabajadores  y servidores permanentes y no permanentes</t>
  </si>
  <si>
    <t>Mensual
(año móvil)</t>
  </si>
  <si>
    <t>Diferencia entre la energía eléctrica que reciben las empresas de distribución, de las centrales de generación (energía disponible en el sistema de distribución); y, la energía eléctrica que se entrega y factura a los usuarios conectados a esos sistemas (energía entregada) (GPR)</t>
  </si>
  <si>
    <t>Es el cociente entre los valores monetarios recaudados (no considera asignaciones por subsidios ni déficit tarifario) y facturados por servicio eléctrico, incluye los valores por alumbrado público</t>
  </si>
  <si>
    <t>Cartera Vencida mayor a 30 días
(Valor en dólares)</t>
  </si>
  <si>
    <t>PÉRDIDAS DE ENERGÍA</t>
  </si>
  <si>
    <t>Porcentaje</t>
  </si>
  <si>
    <t>Mejorar la rentabilidad y liquidez</t>
  </si>
  <si>
    <t>Indicador = PÉRDIDAS META / PÉRDIDAS PPE</t>
  </si>
  <si>
    <t>META</t>
  </si>
  <si>
    <t>INDICE</t>
  </si>
  <si>
    <t>Si el valor del indicador es mayor o igual a 1, significa que cumple con la meta trazada.</t>
  </si>
  <si>
    <t>Información Fuente</t>
  </si>
  <si>
    <t>Datos de energía distribuida, energía facturada y energía de terceros</t>
  </si>
  <si>
    <t>PPE  [%]</t>
  </si>
  <si>
    <t>Comportamiento histórico de las Pérdidas de Energía</t>
  </si>
  <si>
    <t>Porcentaje de pérdidas de energía respecto a la energía total disponible ETD</t>
  </si>
  <si>
    <t>CLIENTES ATENDIDOS POR TRABAJADOR (Servicio de Electricidad)</t>
  </si>
  <si>
    <t>Es la relación que se obtiene al comparar el número total de clientes del servicio eléctrico de la Empresa, con su número total de trabajadores relacionados con esta actividad.</t>
  </si>
  <si>
    <t>Número de clientes atendidos por trabajador</t>
  </si>
  <si>
    <t>Mantener una tasa positiva de crecimiento del indicador, con respecto al índice mensual del año anterior</t>
  </si>
  <si>
    <t>NCeT = NÚMERO DE CLIENTES SERVICIO ELÉCTRICO / NÚMERO DE TRABAJADORES</t>
  </si>
  <si>
    <t>Mejorar la Rentabilidad</t>
  </si>
  <si>
    <t>Indicador = NCeT MENSUAL / META</t>
  </si>
  <si>
    <t>NCeT</t>
  </si>
  <si>
    <t>Datos de número de clientes de servicio eléctrico, número de trabajadores fijos y número de trabajadores eventuales</t>
  </si>
  <si>
    <t>Clientes Servicio Eléctrico</t>
  </si>
  <si>
    <t>Número Trabajadores Total</t>
  </si>
  <si>
    <t>Número total de trabajadores y servidores que dispone la empresa.
Servicio de Electricidad</t>
  </si>
  <si>
    <t>Número de trabajadores y servidores.
Servicio de Electricidad</t>
  </si>
  <si>
    <t>Indicador
N° 03</t>
  </si>
  <si>
    <t>Indicador
N° 04</t>
  </si>
  <si>
    <t>Indicador
N° 05</t>
  </si>
  <si>
    <r>
      <t>PPE = ((EDT - EF - E3</t>
    </r>
    <r>
      <rPr>
        <vertAlign val="subscript"/>
        <sz val="9"/>
        <rFont val="Myriad Condensed Web"/>
        <family val="2"/>
      </rPr>
      <t>ros</t>
    </r>
    <r>
      <rPr>
        <sz val="9"/>
        <rFont val="Myriad Condensed Web"/>
        <family val="2"/>
      </rPr>
      <t>) / EDT) * 100</t>
    </r>
  </si>
  <si>
    <r>
      <t>PPE = Porcentaje de Pérdidas de Energía
EDT = Energía total disponible para satisfacer las necesidades de sus clientes y de terceros conectados a su sistema, en los últimos 12 meses.
EF = Energía total facturada en los últimos 12 meses a los clientes regulados
E3</t>
    </r>
    <r>
      <rPr>
        <vertAlign val="subscript"/>
        <sz val="9"/>
        <rFont val="Myriad Condensed Web"/>
        <family val="2"/>
      </rPr>
      <t>ros</t>
    </r>
    <r>
      <rPr>
        <sz val="9"/>
        <rFont val="Myriad Condensed Web"/>
        <family val="2"/>
      </rPr>
      <t xml:space="preserve"> = Energía de terceros</t>
    </r>
  </si>
  <si>
    <t>CONCEPTO / AÑO</t>
  </si>
  <si>
    <t>Indicador
N° 08</t>
  </si>
  <si>
    <t>Cantidad de energía eléctrica facturada a los clientes regulados</t>
  </si>
  <si>
    <t>3F</t>
  </si>
  <si>
    <t>Mes/
Tipo</t>
  </si>
  <si>
    <t>Contador</t>
  </si>
  <si>
    <t>Clientes</t>
  </si>
  <si>
    <t>MES /
TARIFA</t>
  </si>
  <si>
    <t>Cumplir con la misión de la empresa, suministrar energía que cumpla estándares de calidad.</t>
  </si>
  <si>
    <t>Cabecera de Alimentador Primario.</t>
  </si>
  <si>
    <t>Nivel de cálculo:</t>
  </si>
  <si>
    <t>INDICADORES DE CALIDAD DEL SERVICIO TÉCNICO</t>
  </si>
  <si>
    <t>Número de interrupciones por kVA desconectado a nivel de cabecera de alimentador.</t>
  </si>
  <si>
    <t>PEF</t>
  </si>
  <si>
    <t>Porcentaje de Errores en la Facturación</t>
  </si>
  <si>
    <t>(Número de facturas ajustadas con motivo de corregir un error de lectura o facturación / Número total de facturas emitidas en el mes)*100</t>
  </si>
  <si>
    <t>Subetapa 2</t>
  </si>
  <si>
    <t>Subetapa 1</t>
  </si>
  <si>
    <t>Limites</t>
  </si>
  <si>
    <t>Un servicio de calidad implica la menor cantidad posible de errores en facturación, por consiguiente la mínima molestia al cliente.</t>
  </si>
  <si>
    <t>La información es validada por el Departamento de Atención al Cliente.</t>
  </si>
  <si>
    <t>Validación</t>
  </si>
  <si>
    <t>Fa: Número de facturas ajustadas con motivo de corregir un error de lectura o facturación.
Ne: Número total de facturas emitidas en el mes.</t>
  </si>
  <si>
    <t>Evaluar el desempeño del distribuidor en lo que refiere a la calidad de la facturación a los consumidores.</t>
  </si>
  <si>
    <t>INDICADOR DE CALIDAD DEL SERVICIO COMERCIAL - GLOBALES</t>
  </si>
  <si>
    <t>Cumplir con la misión de la Empresa, que es suministrar energía cumpliendo estándares de calidad.</t>
  </si>
  <si>
    <t>Se define como el porcentaje que representan las refacturaciones, realizadas por errores de lectura o facturación, respecto del total de facturas emitidas.</t>
  </si>
  <si>
    <t>Total de energía eléctrica facturada, por grupo de consumo, a Clientes Regulados</t>
  </si>
  <si>
    <t>Variación %</t>
  </si>
  <si>
    <t>Valor facturado, en dólares, por venta de energía eléctrica</t>
  </si>
  <si>
    <t>Valores recaudados, en dólares, por concepto de venta de energía eléctrica, sin impuestos.</t>
  </si>
  <si>
    <t>Cociente entre los valores, en dólares, recaudados y facturados por concepto de venta de energía eléctrica.</t>
  </si>
  <si>
    <t>Valor que por servicio de energía eléctrica, los clientes adeudan a la Empresa, con una antigüedad mayor a 30 días.</t>
  </si>
  <si>
    <t>Mide la eficiencia en los procesos de Distribución y Comercialización de la energía eléctrica, hasta llegar al cliente final.</t>
  </si>
  <si>
    <t>TIEMPO DE INTERRUPCIÓN DEL SISTEMA EN CABECERAS DE ALIMENTADORES</t>
  </si>
  <si>
    <t>Cumplimiento de las metas establecidas por el MEER.</t>
  </si>
  <si>
    <t>FRECUENCIA DE INTERRUPCIÓN DEL SISTEMA EN CABECERAS DE ALIMENTADORES</t>
  </si>
  <si>
    <t>Total de contadores de energía instalados, a nuevos usuarios.</t>
  </si>
  <si>
    <t>Unidades</t>
  </si>
  <si>
    <t>Número total de contadores de energía</t>
  </si>
  <si>
    <t>Número total de clientes</t>
  </si>
  <si>
    <t>Si el valor del índice es mayor o igual a 1, significa que cumple con la meta trazada.</t>
  </si>
  <si>
    <t>PORCENTAJE DE ERRORES EN LA FACTURACIÓN (PEF)</t>
  </si>
  <si>
    <t>PROGRAMAS</t>
  </si>
  <si>
    <t>Mensual
(Acumulada - Año)</t>
  </si>
  <si>
    <t>EDT  [MWh]</t>
  </si>
  <si>
    <t>EF  [MWh]</t>
  </si>
  <si>
    <t>E3ros  [MWh]</t>
  </si>
  <si>
    <t>Pérdidas de energía  [MWh]</t>
  </si>
  <si>
    <t>Total
Mensual</t>
  </si>
  <si>
    <t>Total
Anual</t>
  </si>
  <si>
    <t>PORCENTAJE DE RECAUDACIÓN POR VENTA DE ENERGÍA, INCLUIDO OTROS (intereses, créditos, terceros, etc.)</t>
  </si>
  <si>
    <t>NCeT: Relación Número de Clientes Servicio Eléctrico por Trabajador.
NÚMERO DE CLIENTES SERVICIO ELÉCTRICO: Incluye a Clientes Regulados, Grandes Consumidores y Consumos de Autoproductores.
NÚMERO DE TRABAJADORES: Incluye a los trabajadores de la Empresa, relacionados con el suministro del servicio de electricidad.</t>
  </si>
  <si>
    <t>$ adeudados a la empresa con una antigüedad mayor a 30 días</t>
  </si>
  <si>
    <t>PEF
AÑO MOVIL
%</t>
  </si>
  <si>
    <t>TOTAL/12</t>
  </si>
  <si>
    <t>Unidad medida</t>
  </si>
  <si>
    <t xml:space="preserve">Recaudación de las Distribuidoras por Venta de Energía Eléctrica </t>
  </si>
  <si>
    <t>N°</t>
  </si>
  <si>
    <t>Año 2014</t>
  </si>
  <si>
    <t>META MEER 2014</t>
  </si>
  <si>
    <t>- Valores recaudados por ELECGALAPAGOS, que consideran asignaciones por subsidios.</t>
  </si>
  <si>
    <t>Tener un indicador que permita comparar la situación de ELECGALAPAGOS con empresas de características similares, en el sector eléctrico ecuatoriano y latinoamericano</t>
  </si>
  <si>
    <t>SAN CRISTÓBAL</t>
  </si>
  <si>
    <t>SANTA CRUZ</t>
  </si>
  <si>
    <t>ISABELA</t>
  </si>
  <si>
    <t>FERUM BID II</t>
  </si>
  <si>
    <t>SAN CRISTÓBAL DIESEL</t>
  </si>
  <si>
    <t>SANTA CRUZ DIESEL</t>
  </si>
  <si>
    <t>ISABELA DIESEL</t>
  </si>
  <si>
    <t>FLOREANA DIESEL</t>
  </si>
  <si>
    <t>FLOREANA PIÑÓN</t>
  </si>
  <si>
    <t>SAN CRISTÓBAL 
TÉRMICO</t>
  </si>
  <si>
    <t>SAN CRISTÓBAL 
SOLAR</t>
  </si>
  <si>
    <t>SANTA CRUZ
TÉRMICO</t>
  </si>
  <si>
    <t>ISABELA
TÉRMICO</t>
  </si>
  <si>
    <t>FLOREANA
TÉRMICO</t>
  </si>
  <si>
    <t>TOTAL</t>
  </si>
  <si>
    <t>Cantidad de energía  generada</t>
  </si>
  <si>
    <t>Total de energía generada en todas las unidades de generación</t>
  </si>
  <si>
    <t>Dirección de Técnica</t>
  </si>
  <si>
    <t>Galones</t>
  </si>
  <si>
    <t xml:space="preserve">Total de galones de diesel y piñón </t>
  </si>
  <si>
    <t>MES / GENERACIÓN</t>
  </si>
  <si>
    <t>MES / GALONES</t>
  </si>
  <si>
    <t>MENSUAL</t>
  </si>
  <si>
    <t>Energía disponible de las liquidaciones transaccionales del (SICO), la energía facturada a clientes regulados (SICO), energía generadas en todas las unidades de generación incluido renovables.</t>
  </si>
  <si>
    <t>Dirección Técnica</t>
  </si>
  <si>
    <t>Reportes estadísticos de SICO y RRHH</t>
  </si>
  <si>
    <t>El indicador cumplió la meta establecida para el presente año.</t>
  </si>
  <si>
    <t>META PEF EEPG
%</t>
  </si>
  <si>
    <t>0.9%</t>
  </si>
  <si>
    <t>La meta fijada para el presente año es el 80% del valor de una emisión</t>
  </si>
  <si>
    <t xml:space="preserve">Generación </t>
  </si>
  <si>
    <t>Energía generada  (provincial)</t>
  </si>
  <si>
    <t xml:space="preserve">CONSUMO DE ENERGÍA ELÉCTRICA, POR GRUPO </t>
  </si>
  <si>
    <t>CONSUMO DE ENERGÍA ELÉCTRICA, POR ISLA</t>
  </si>
  <si>
    <t>Dólares ($)</t>
  </si>
  <si>
    <t>Porcentaje (%)</t>
  </si>
  <si>
    <t>220-240
V</t>
  </si>
  <si>
    <t>110 
V</t>
  </si>
  <si>
    <t xml:space="preserve">ENTREGAS DE REFRIGERADORAS POR CANTONES Y PROVINCIA
</t>
  </si>
  <si>
    <t>Total de refrigeradoras entregadas por isla (clientes beneficiarios)</t>
  </si>
  <si>
    <t xml:space="preserve">San Cristóbal </t>
  </si>
  <si>
    <t>Santa Cruz</t>
  </si>
  <si>
    <t xml:space="preserve">Isabela </t>
  </si>
  <si>
    <t>Avance RENOVA</t>
  </si>
  <si>
    <t>Recaudado/  Transferencias</t>
  </si>
  <si>
    <t>Recuperación de Cartera</t>
  </si>
  <si>
    <t>Transferencias recibidas por el MEER</t>
  </si>
  <si>
    <t>Transferencias realizadas BNF</t>
  </si>
  <si>
    <t>Consumo de Diesel</t>
  </si>
  <si>
    <t>Consumo de Diesel 
(provincial)</t>
  </si>
  <si>
    <t>Total consumo de energía de todas las unidades de generación</t>
  </si>
  <si>
    <t>Total de energía generada por isla, sumado todas la unidades de generación</t>
  </si>
  <si>
    <t xml:space="preserve">Consumo de Energía Eléctrica </t>
  </si>
  <si>
    <t>CLIENTES RESIDENCIALES</t>
  </si>
  <si>
    <t>MONOFÁSICOS
(1 FASE 2 CONDUCTORES) 
120 V</t>
  </si>
  <si>
    <t>BIFÁSICO 
(2 FASES 3 CONDUCTORES) 240 V</t>
  </si>
  <si>
    <t>INDICE - MÓVIL</t>
  </si>
  <si>
    <t>PPE - MENSUAL %</t>
  </si>
  <si>
    <t>PPE - MÓVIL %</t>
  </si>
  <si>
    <t>Nota</t>
  </si>
  <si>
    <t>FLOREANA
FOTOVOLTAICA</t>
  </si>
  <si>
    <t>META MEER ELECGALAPAGOS
AÑO MÓVIL</t>
  </si>
  <si>
    <t xml:space="preserve">AÑO MÓVIL </t>
  </si>
  <si>
    <t>Mensual - Año Móvil</t>
  </si>
  <si>
    <t>Tiempo total acumulado de interrupción por kVA instalado en el sistema de media tensión, calculado de acuerdo a la regulación CONELEC 004/01.</t>
  </si>
  <si>
    <t>Indicador
N° 12</t>
  </si>
  <si>
    <t>INDICADOR
N° 11</t>
  </si>
  <si>
    <t>INDICADOR
N° 10</t>
  </si>
  <si>
    <t>Sector 
Privado</t>
  </si>
  <si>
    <t xml:space="preserve">Mensual (año móvil) </t>
  </si>
  <si>
    <t xml:space="preserve">Mensual </t>
  </si>
  <si>
    <t>ÁREAS</t>
  </si>
  <si>
    <t>ADMINISTRACIÓN</t>
  </si>
  <si>
    <t>GENERACIÓN</t>
  </si>
  <si>
    <t>DISTRIBUCIÓN</t>
  </si>
  <si>
    <t xml:space="preserve">SAN CRISTÓBAL </t>
  </si>
  <si>
    <t>Trabajadores Fijos Codigo T.</t>
  </si>
  <si>
    <t>Trabajadores Eventuales LOSEP</t>
  </si>
  <si>
    <t>Trabajadores Eventuales Código</t>
  </si>
  <si>
    <t>Personal de Libre Nombramiento</t>
  </si>
  <si>
    <t>MATRIZ SAN CRISTÓBAL</t>
  </si>
  <si>
    <t>PERSONAL TÉCNICO</t>
  </si>
  <si>
    <t>Cargos</t>
  </si>
  <si>
    <t>Operadores</t>
  </si>
  <si>
    <t>Contratados</t>
  </si>
  <si>
    <t>Electricistas</t>
  </si>
  <si>
    <t>Auxiliar de Electricista</t>
  </si>
  <si>
    <t>PERSONAL ADMINISTRATIVO</t>
  </si>
  <si>
    <t>Personal de oficina</t>
  </si>
  <si>
    <t>Personal a Contrato</t>
  </si>
  <si>
    <t>SUMAN</t>
  </si>
  <si>
    <t>AGENCIA SANTA CRUZ</t>
  </si>
  <si>
    <t>AGENCIA ISABELA</t>
  </si>
  <si>
    <t>TOTAL PAGO EN HORAS EXTRAS</t>
  </si>
  <si>
    <t>TOTAL NÓMINA</t>
  </si>
  <si>
    <t>% PAGO EN HORAS EXTRAS</t>
  </si>
  <si>
    <t>01</t>
  </si>
  <si>
    <t>02</t>
  </si>
  <si>
    <t>03</t>
  </si>
  <si>
    <t>04</t>
  </si>
  <si>
    <t>05</t>
  </si>
  <si>
    <t>07</t>
  </si>
  <si>
    <t>08</t>
  </si>
  <si>
    <t>09</t>
  </si>
  <si>
    <t>10</t>
  </si>
  <si>
    <t>11</t>
  </si>
  <si>
    <t>12</t>
  </si>
  <si>
    <t>13</t>
  </si>
  <si>
    <t>14</t>
  </si>
  <si>
    <t>15</t>
  </si>
  <si>
    <t>Indicador
N° 06</t>
  </si>
  <si>
    <t>Indicador
N° 07</t>
  </si>
  <si>
    <t>INDICADOR
N° 09</t>
  </si>
  <si>
    <t>Indicador
N° 13</t>
  </si>
  <si>
    <t>INDICADOR
N° 14</t>
  </si>
  <si>
    <t>INDICADOR
N° 15</t>
  </si>
  <si>
    <t xml:space="preserve">PAGO DE HORAS EXTRAS </t>
  </si>
  <si>
    <t>Lograr la productividad en costos y manejo de los recursos</t>
  </si>
  <si>
    <t>Eficiencia y Eficacia en el procesamiento de la información financiera</t>
  </si>
  <si>
    <t>(# de procesos dentro del sistema/total de procesos)*100</t>
  </si>
  <si>
    <t>INDICADOR
N° 19</t>
  </si>
  <si>
    <t>PRESUPUESTO</t>
  </si>
  <si>
    <t>INDICADORES EJECUCIÓN PRESUPUESTARÍA</t>
  </si>
  <si>
    <t>AVANCE 
( %)</t>
  </si>
  <si>
    <t xml:space="preserve">REFRIGERADORAS ENTREGADAS </t>
  </si>
  <si>
    <t>PRESUPUESTO DE OPERACIÓN</t>
  </si>
  <si>
    <t>PRESUPUESTO DE INVERSIONES</t>
  </si>
  <si>
    <t>CODIFICADO</t>
  </si>
  <si>
    <t xml:space="preserve"> EJECUTADO</t>
  </si>
  <si>
    <t>Trabajadores Fijos LOSEP</t>
  </si>
  <si>
    <t>ESTADO DE PROYECTOS DE ENERGÍA RENOVABLE</t>
  </si>
  <si>
    <t>Indicador
N° 22</t>
  </si>
  <si>
    <t>Proyectos de generación eléctrica con energía renovable financiados por el Gobierno Nacional y por la Cooperación Internacional.</t>
  </si>
  <si>
    <t>Porcentaje ( % )</t>
  </si>
  <si>
    <t>Avance de proyectos registrados por SEREE en sistema de Gobierno por Resultados.</t>
  </si>
  <si>
    <t>Dirección de Energía Renovable -SEREE - MEER; GPR; Dirección de Técnica ELECGALAPAGOS.</t>
  </si>
  <si>
    <t xml:space="preserve">Porcentaje de avance de los proyectos. Los funcionarios de la SEREE realizan la actualización de avances de los proyectos a través de hitos en el sistema GPR. </t>
  </si>
  <si>
    <t>INVERSIÓN APROXIMADA (USD)</t>
  </si>
  <si>
    <t>MESES</t>
  </si>
  <si>
    <t>Eólico Santa Cruz - Baltra (Parque Eólico + Sistema de Interconexión)</t>
  </si>
  <si>
    <t>Sistema Híbrido Isabela (Central térmica dual + Planta Fotovoltaica + Banco de Baterías)</t>
  </si>
  <si>
    <t xml:space="preserve"> Sistema Híbrido Floreana</t>
  </si>
  <si>
    <t>Fotovoltaico y de Almacenamiento (Baterías) en la Isla Baltra</t>
  </si>
  <si>
    <t>Las pérdidas de energía son incidentes en los resultados económicos de la actividad de la Empresa, por lo que su control y gestión permitirá continuar con su reducción.</t>
  </si>
  <si>
    <t>INDICADOR
N° 17</t>
  </si>
  <si>
    <t xml:space="preserve">Es la relación que se obtiene al comparar el valor total gasto en mano de obra con horas suplementarias </t>
  </si>
  <si>
    <t xml:space="preserve">Mantener un pago mensual inferior al 8 % de la masa salarial. </t>
  </si>
  <si>
    <t xml:space="preserve">TOTAL PAGO HORAS EXTRAS / TOTAL MASA SALARIAL </t>
  </si>
  <si>
    <t>Reportes horas suplementarias y extraordinarias, reportadas por el Personal de las diferentes áreas, y validada por RRHH.</t>
  </si>
  <si>
    <t>Tener un indicador que permita comparar los desembolsos que se relaizan a favor de los personal de ELECGALAPAGOS, por oncepto de trabajos realizados en horas suplementarias o extraordinarias. situación de ELECGALAPAGOS con empresas de características similares, en el sector eléctrico ecuatoriano y latinoamericano</t>
  </si>
  <si>
    <t>Observación</t>
  </si>
  <si>
    <t>Mensual (acumulado)</t>
  </si>
  <si>
    <t>Dirección Administrativa Financiera  - Sistema Contrable OLYMPO</t>
  </si>
  <si>
    <t>INDICADORES DE GESTIÓN - FINANCIEROS</t>
  </si>
  <si>
    <t>PROCESOS DE CONTRATACIÓN Y COMPRAS PÚBLICAS DE BIENES Y SERVICIOS</t>
  </si>
  <si>
    <t xml:space="preserve">Proceso de compras realizados </t>
  </si>
  <si>
    <t>Unidades y Dólares ( $ )</t>
  </si>
  <si>
    <t>Número total de procesos de compras</t>
  </si>
  <si>
    <t xml:space="preserve">Dirección Administrativa Financiera - Compras </t>
  </si>
  <si>
    <t xml:space="preserve">NÚMEROS DE PROCESOS </t>
  </si>
  <si>
    <t>MONTOS (USD) INCLUYE IVA</t>
  </si>
  <si>
    <t>MES / PROCESO</t>
  </si>
  <si>
    <t>Ínfima Cuantía</t>
  </si>
  <si>
    <t>Subasta Inversa Electrónica</t>
  </si>
  <si>
    <t>Régimen Especial</t>
  </si>
  <si>
    <t>Declarados desiertos</t>
  </si>
  <si>
    <t>TOTAL ISLAS</t>
  </si>
  <si>
    <t>MONTO TRANSFERIDO</t>
  </si>
  <si>
    <t>PRESUPUESTO APROBADO</t>
  </si>
  <si>
    <t>MONTO COMPROMETIDO MEER</t>
  </si>
  <si>
    <t>SALDO</t>
  </si>
  <si>
    <t>AVANCE FÍSICO
[%]</t>
  </si>
  <si>
    <t>MONTO EJECUTADO (CONTABLE)</t>
  </si>
  <si>
    <t>AVANCE CONTABLE
[%]</t>
  </si>
  <si>
    <t>SANTA CRUZ
EÓLICO</t>
  </si>
  <si>
    <t>TOTAL/13</t>
  </si>
  <si>
    <t xml:space="preserve">ESTADO DE PROYECTOS DE INVERSIÓN </t>
  </si>
  <si>
    <t xml:space="preserve">AVANCE DE EJECUCIÓN DE PROYECTOS </t>
  </si>
  <si>
    <t>Avance de ejecución físico y económico en relación al  presupuesto asignado</t>
  </si>
  <si>
    <t>Jefatura de Planificación</t>
  </si>
  <si>
    <t>En cumplimineto de los proyectos aprobados por el MEER, es necesario se realice un seguimiento mensual y se reporte el detalle de los mismos.</t>
  </si>
  <si>
    <t>Cumplir con la ejecución de proyectos de acuerdo a los lineamientos dados por el MEER.</t>
  </si>
  <si>
    <t>(Valor de Avance / Valor total procesado o asignado) * 100%</t>
  </si>
  <si>
    <t>AVANCE FÍSICO ( % )</t>
  </si>
  <si>
    <t>AVANCE CONTABLE ( % )</t>
  </si>
  <si>
    <t>Indicador
N° 25</t>
  </si>
  <si>
    <t>Variación</t>
  </si>
  <si>
    <t>Proyectos dentro de la incitiativa gubernamental de "Cero combustibles Fósiles para Galápagos", se busca desplazar el uso de diesel en la generación eléctrica a través de la utilización de los recursos energéticos renovables que se encuentran en Galápagos, principalmente el recurso eólico y fotovoltaico.  Los proyectos son implementados por la Subsecretaría de Energía Renovable y Eficiencia Energética, y ELECGALAPAGOS realiza el seguimiento de la implementación en sitio y el apoyo técnico y administrativo en las Islas.</t>
  </si>
  <si>
    <t>Año 2015</t>
  </si>
  <si>
    <t>Indicador 
N° 02</t>
  </si>
  <si>
    <t>Indicador
N° 01</t>
  </si>
  <si>
    <t>Trabajadores Eventuales LOEP</t>
  </si>
  <si>
    <t>Trabajadores Fijos CETEEG</t>
  </si>
  <si>
    <t>Trabajadores Fijos LOEP</t>
  </si>
  <si>
    <t>PROGRAMA EMBLEMÁTICO RENOVA</t>
  </si>
  <si>
    <t>Indicador
N° 21</t>
  </si>
  <si>
    <t>AVANCE DE EJECUCIÓN DEL PROYECTO</t>
  </si>
  <si>
    <t>Total de refrigeradoras entregadas por isla (clientes beneficiarios)
Recaudado /  Transferencias</t>
  </si>
  <si>
    <t>Dirección Comercial</t>
  </si>
  <si>
    <t>Total de refrigeradoras entregadas por isla
 (clientes beneficiarios)</t>
  </si>
  <si>
    <t>Recaudado /  Transferencias</t>
  </si>
  <si>
    <t>San Cristóbal</t>
  </si>
  <si>
    <t>-</t>
  </si>
  <si>
    <t xml:space="preserve">R E S U L T A D O S </t>
  </si>
  <si>
    <t>RSND CAF</t>
  </si>
  <si>
    <t>ENERO</t>
  </si>
  <si>
    <t>FEBRERO</t>
  </si>
  <si>
    <t>MARZO</t>
  </si>
  <si>
    <t>ABRIL</t>
  </si>
  <si>
    <t>MAYO</t>
  </si>
  <si>
    <t>RSND BID</t>
  </si>
  <si>
    <t>Santa Cruz Térmico</t>
  </si>
  <si>
    <t>Santa Cruz Fotovoltaica</t>
  </si>
  <si>
    <t>Santa Cruz Eólico</t>
  </si>
  <si>
    <t>San Cristóbal - Térmico</t>
  </si>
  <si>
    <t>San Cristóbal - Eólico</t>
  </si>
  <si>
    <t>San Cristóbal - Solar</t>
  </si>
  <si>
    <t>Isabela - Térmico</t>
  </si>
  <si>
    <t>Floreana Térmico</t>
  </si>
  <si>
    <t>Floreana Fotovoltaica</t>
  </si>
  <si>
    <t>JUNIO</t>
  </si>
  <si>
    <t>Floreana - aceite de piñon</t>
  </si>
  <si>
    <t>FLOREANA
ACEITE DE PIÑON</t>
  </si>
  <si>
    <t xml:space="preserve">Mensual
</t>
  </si>
  <si>
    <t>FMIK = Frecuencia media de Interrupción por kVA nominal instalado, expresado en fallas por kVA.
kVAfs = Cantidad de kVA nominales fuera de servicio en cada una de las interrupciones “i”.
KVAinst =  Cantidad de kVA nominales instalados.
Rd = Red de distribución.</t>
  </si>
  <si>
    <t>JULIO</t>
  </si>
  <si>
    <t>CAF</t>
  </si>
  <si>
    <t>Energía generada con Diesel (MWh)</t>
  </si>
  <si>
    <t>Energía generada con Recurso Eólico (MWh)</t>
  </si>
  <si>
    <t>Energía generada con Recurso Fotovoltaico (MWh)</t>
  </si>
  <si>
    <t>Energía generada  con Aceite Piñón (MWh)</t>
  </si>
  <si>
    <t>AGOSTO</t>
  </si>
  <si>
    <t>Este indicador evalua la satisfacción del cliente al solicitar los nuevos servicios, considera los siguientes aspectos consultados: a) Producto, b) información y comunicación al cliente, c) Factura, d) Atención al Cliente, e) Imagen, los puntos consultado en cada literal son establecidos en la REGULACIÓN No. CONELEC – 007/08: Procedimiento para la elaboración de encuestas de satisfacción de los consumidores.  Es importante aclarar que las preguntas que se realizarán a los clientes estan ya definidas en la regulación mencionada.</t>
  </si>
  <si>
    <t xml:space="preserve">ISC= Índice de satisfacción del consumidor.
IP= ïndice del producto.
IICC= ïndice de información y comunicación con el cliente (IICC).
IF= Índice de Factura.
IAC= Índice de atención al cliente.
II= Índice de imagen
</t>
  </si>
  <si>
    <t>Mejorar los índices de la persepción de la satisfacción del consumidor del servicio.</t>
  </si>
  <si>
    <t>DATOS HISTÓRICOS</t>
  </si>
  <si>
    <t xml:space="preserve">Comportamiento histórico del indicador </t>
  </si>
  <si>
    <t>Historico</t>
  </si>
  <si>
    <t>Cumplir con lo establecido en la regulación el cual nos permita medir y evaluar el grado de satisfacción de los consumidores por parte de los clientes de ELECGALAPAGOS,  La meta establecida por el regulador es del 70%.</t>
  </si>
  <si>
    <t>DIRECCIÓN COMERCIAL</t>
  </si>
  <si>
    <t>Los valores para los cálculos son obtenidos de las encuestas a clientes que se realiza anualmenete, es proporcionado por la compañía encuestadora.</t>
  </si>
  <si>
    <t>Índice de Satisfacción del Consumidor (ISC).</t>
  </si>
  <si>
    <t>Incrementar la calidad del servicio de la distribución.</t>
  </si>
  <si>
    <t xml:space="preserve">CONSUMO DE COMBUSTIBLE, POR ISLA </t>
  </si>
  <si>
    <t># PARTICIPANTES</t>
  </si>
  <si>
    <t>Indicador
N° 26</t>
  </si>
  <si>
    <t xml:space="preserve"> A DICIEMBRE 
2013</t>
  </si>
  <si>
    <t>Número de medidores bifásicos instalados a clientes residenciales</t>
  </si>
  <si>
    <t>INDICADOR
N° 23</t>
  </si>
  <si>
    <t>Total de contadores de energía instalados, a clientes residenciales</t>
  </si>
  <si>
    <t>La información es validada por el Asistente Técnico Comercial</t>
  </si>
  <si>
    <t>Incrementar  acciones de  mejora sobre Responsabilidad Socio-Ambiental Empresarial.</t>
  </si>
  <si>
    <t>INDICADOR
N° 24</t>
  </si>
  <si>
    <t>cumplir con lo dispuesto por el MEER y alcanzar las expectativas del proyecto PEC</t>
  </si>
  <si>
    <t xml:space="preserve">Los clientes Circuitos expreso corresponde aquellos clientes que la empresa elaboro el respectivo circuito para el funcionamiento de su cocina de inducción solicitado por el propietario o arrendador del inmueble. Clientes con incentivo tarifario corresponde aquellos clientes que se acercaron a las instalaciones de la ELECGALAPAGOS para solicitar la inspección y verificación de funcionamiento del mismo. </t>
  </si>
  <si>
    <t>La información es validada por el Responsabel del proyecto PEC</t>
  </si>
  <si>
    <t>Esta informacion se la obtiene del catastro mensual facilitado por la Analista Administrativa Comercial</t>
  </si>
  <si>
    <t>FLOREANA</t>
  </si>
  <si>
    <t>Circuitos Expreso Provincial</t>
  </si>
  <si>
    <t>Isabela</t>
  </si>
  <si>
    <t>Florena</t>
  </si>
  <si>
    <t>Total clientes</t>
  </si>
  <si>
    <t>Clientes ducha</t>
  </si>
  <si>
    <t>Clientes cocina y ducha</t>
  </si>
  <si>
    <t>INSTALADOS MENSUAL</t>
  </si>
  <si>
    <t>TOTAL ACOMULADO</t>
  </si>
  <si>
    <t>Clientes con subsidio cocina
(80 kWh)</t>
  </si>
  <si>
    <t xml:space="preserve">RSND BID </t>
  </si>
  <si>
    <t>SEPTIEMBRE</t>
  </si>
  <si>
    <t>OCTUBRE</t>
  </si>
  <si>
    <t>NOVIEMBRE</t>
  </si>
  <si>
    <t>DICIEMBRE</t>
  </si>
  <si>
    <t>PRESUPUESTO APROBADO (USD)</t>
  </si>
  <si>
    <t>MONTO COMPROMETIDO</t>
  </si>
  <si>
    <t>MONTO TRANSFERIDO (USD)</t>
  </si>
  <si>
    <t>MONTO EJECUTADO CONTABLE</t>
  </si>
  <si>
    <t>Cumplimiento de horas hombre promedio de capacitación del personal de ELECGALAPAGOS</t>
  </si>
  <si>
    <t>Este indicador mide el cumplimiento de la planificación de horas de capacitación promedio para el personal .  La capacitación que se realice y las horas de capacitación planteadas como base para este indicador, se consideran desde un diagnóstico de necesidades de la organización, perfil del cargo y persona que lo ocupa.</t>
  </si>
  <si>
    <t>Unidad (horas)</t>
  </si>
  <si>
    <t>La meta se establece sobre la base de los datos históricos del número de horas promedio de capacitación por trabajador.</t>
  </si>
  <si>
    <t>CHC = NHE / NTP</t>
  </si>
  <si>
    <t>JEFATURA DE RECURSOS HUMANOS</t>
  </si>
  <si>
    <t>Capacitación y Entrenamiento, pilares fundamentales para la consecución de objetivos estratégicos a través de la potencialización del capital humano.</t>
  </si>
  <si>
    <t>Incrementar el desarrollo del Talento Humano</t>
  </si>
  <si>
    <t>Inversión</t>
  </si>
  <si>
    <t># EVENTOS INTERNOS</t>
  </si>
  <si>
    <t># EVENTOS EXTERNOS</t>
  </si>
  <si>
    <t>TOTAL EVENTOS</t>
  </si>
  <si>
    <t>INVERSIÓN
USD</t>
  </si>
  <si>
    <t xml:space="preserve"> # horas de capacitación ejecutadas (internas) </t>
  </si>
  <si>
    <t xml:space="preserve"> # horas de capacitación ejecutadas (externas) </t>
  </si>
  <si>
    <t>TOTAL 
HORAS DE CAPACITACIÓN</t>
  </si>
  <si>
    <t xml:space="preserve">#  total de Trabajadores </t>
  </si>
  <si>
    <t>Indice de Cumplimiento</t>
  </si>
  <si>
    <r>
      <t xml:space="preserve">
</t>
    </r>
    <r>
      <rPr>
        <b/>
        <sz val="12"/>
        <color theme="1"/>
        <rFont val="Arial"/>
        <family val="2"/>
      </rPr>
      <t xml:space="preserve">CHC:  </t>
    </r>
    <r>
      <rPr>
        <sz val="12"/>
        <color theme="1"/>
        <rFont val="Arial"/>
        <family val="2"/>
      </rPr>
      <t>Indice de Cumplimiento de horas hombre promedio de capacitación (personal)</t>
    </r>
    <r>
      <rPr>
        <b/>
        <sz val="12"/>
        <color theme="1"/>
        <rFont val="Arial"/>
        <family val="2"/>
      </rPr>
      <t xml:space="preserve">
NHE:  </t>
    </r>
    <r>
      <rPr>
        <sz val="12"/>
        <color theme="1"/>
        <rFont val="Arial"/>
        <family val="2"/>
      </rPr>
      <t xml:space="preserve">Número de horas de capacitación ejecutadas para el personal </t>
    </r>
    <r>
      <rPr>
        <b/>
        <sz val="12"/>
        <color theme="1"/>
        <rFont val="Arial"/>
        <family val="2"/>
      </rPr>
      <t xml:space="preserve">
NTP:  </t>
    </r>
    <r>
      <rPr>
        <sz val="12"/>
        <color theme="1"/>
        <rFont val="Arial"/>
        <family val="2"/>
      </rPr>
      <t>Número de trabajadores mensual, correspondiente al mes de  análisis.</t>
    </r>
  </si>
  <si>
    <t>SAN CRISTÓBAL 
EÓLICO</t>
  </si>
  <si>
    <t>CLIENTES PEC CON INCENTIVO TARIFARIO</t>
  </si>
  <si>
    <t>TRIFÁSICO 
(3 FASES 4 CONDUCTORES) 220 V</t>
  </si>
  <si>
    <t>Cubrir la demanda y brindar el servicio 220V o 240V a todos lo clientes del área de concesión ELECGALAPAGOS</t>
  </si>
  <si>
    <t>Clientes cocina</t>
  </si>
  <si>
    <t xml:space="preserve">AVANCE FÍSICO </t>
  </si>
  <si>
    <t>AVANCE CONTABLE</t>
  </si>
  <si>
    <t>Número de circuitos expresos instalados para cocinas de inducción y clientes PEC con incentivo tarifario</t>
  </si>
  <si>
    <t>INDICADOR
N° 18</t>
  </si>
  <si>
    <t>Clientes con cocina y ducha eléctrica
(100 kWh)</t>
  </si>
  <si>
    <t>Clientes con subsidio ducha eléctrica
(20 kWh)</t>
  </si>
  <si>
    <t>CIRCUITOS EXPRESO INSTALADOS</t>
  </si>
  <si>
    <t>PEF
MENSUAL
%</t>
  </si>
  <si>
    <t>LÍMITE ARCONEL
%</t>
  </si>
  <si>
    <t>Año móvil - mensua{</t>
  </si>
  <si>
    <t>- El Indicador se mantiene por  debajo al límite establecido por el MEER y del ARCONEL.</t>
  </si>
  <si>
    <t>Energía Total Disponible (ETD) [MWh]</t>
  </si>
  <si>
    <t>Pérdidas de Energía [MWh]</t>
  </si>
  <si>
    <t>Pérdidas Totales [%]</t>
  </si>
  <si>
    <t>Pérdidas Técnicas [%]</t>
  </si>
  <si>
    <t>Pérdidas No Técnicas [%]</t>
  </si>
  <si>
    <t>Año 2016</t>
  </si>
  <si>
    <t>Valores recaudados y facturados por ELECGALAPAGOS, no consideran subsidios.</t>
  </si>
  <si>
    <t>Porcentual ( % )</t>
  </si>
  <si>
    <t>OBSERVACIONES</t>
  </si>
  <si>
    <t>CAPACITACIÓN INTERNA</t>
  </si>
  <si>
    <t>USO DE BITÁCORAS PARA CONDUCTORES PARA AGENCIA SANTA CRUZ (2 SESIONES).</t>
  </si>
  <si>
    <t>INDUCCIÓN SEGURIDAD INDUSTRIAL.</t>
  </si>
  <si>
    <t>CAPACITACIÓN EXTERNA</t>
  </si>
  <si>
    <t>GASTOS PERSONALES SRI (2 SESIONES).</t>
  </si>
  <si>
    <t>SCADA.</t>
  </si>
  <si>
    <t>MANEJO Y RECICLAJE DE DESECHOS SÓLIDOS.</t>
  </si>
  <si>
    <t>FUNDAMENTO DE ENERGÍA EÓLICA Y SISTEMA HÍBRIDO SAN CRISTÓBAL.</t>
  </si>
  <si>
    <t>CURSO DE IMPLEMENTACIÓN DE HERRAMIENTAS PARA LA ADMINISTRACIÓN DE LA PREVENCIÓN DE RIESGOS LABORALES DIRIGIDO A LOS RESPONSABLES O UNIDADES DE SEGURIDAD INDUSTRIAL OCUPACIONAL O DEL TRABAJO (2 SESIONES, SCY - SCX).</t>
  </si>
  <si>
    <t>POR POLÍTICAS DE RESTRICCIÓN DE GASTOS NO SE HA DADO COMIENZO CON LA EJECUCIÓN DEL PLAN DE CAPACITACIÓN APROBADO -SIN EMBARGO- Y DE ACUERDO A NUESTRO OBJETIVO DE CALIDAD, SE HA APROVECHADO LAS CAPACITACIONES GRATUITAS DE ENTIDADES GUBERNAMENTALES Y LAS CAPACITACIONES INTERNAS.</t>
  </si>
  <si>
    <t>RSND AFD</t>
  </si>
  <si>
    <t>CAPACITACIÓN SOBRE PROCEDIMIENTOS NORMATIVOS Y OPERATIVOS DE SGC (AGENCIA SANTA CRUZ).</t>
  </si>
  <si>
    <t>PROYECTO LA ACADEMIA: SEGURIDAD BÁSICA, TIPO DE RIESGOS (AGENCIA SANTA CRUZ).</t>
  </si>
  <si>
    <t>CURSO TRABAJO SEGURO EN ALTURAS (MATRIZ SAN CRISTÓBAL).</t>
  </si>
  <si>
    <t>SEGURIDAD INDUSTRIAL Y PREVENCIÓN DE RIESGOS ELÉCTRICOS.</t>
  </si>
  <si>
    <t>SANTA CRUZ-BALTRA
FOTOVOLTAICA</t>
  </si>
  <si>
    <t>Final año 2015</t>
  </si>
  <si>
    <t>N° HORAS DE CAPACITACIÓN INTERNA</t>
  </si>
  <si>
    <t>N° HORAS DE CAPACITACIÓN EXTERNA</t>
  </si>
  <si>
    <t>N° HORAS EFECTIVAS POR EVENTO INTERNO</t>
  </si>
  <si>
    <t>N° HORAS EFECTIVAS POR EVENTO EXTERNO</t>
  </si>
  <si>
    <t xml:space="preserve">TOTAL HORAS HOMBRE </t>
  </si>
  <si>
    <t>TOTAL SERVIDORES</t>
  </si>
  <si>
    <t>INDICE DE CUMPLIMIENTO</t>
  </si>
  <si>
    <t>SUBSIDIOS: TERCERA EDAD, DISCAPACIDADES, SUBSIDIO CRUZADO, SUBSIDIO DIGNIDAD</t>
  </si>
  <si>
    <t>MEDIDORES DE ENERGÍA ELÉCTRICA</t>
  </si>
  <si>
    <t>MOTIVACIÓN</t>
  </si>
  <si>
    <t>COSTOS DE SERVICIO PÚBLICO DE ENERGÍA ELÉCTRICA Y ALUMBRADO PÚBLICO GENERAL DEL PERÍODO ENERO - DICIEMBRE 2017</t>
  </si>
  <si>
    <t xml:space="preserve">CAPACITACIÓN EMPRESARIAL DE ECONOMETRÍA CON EVIEWS </t>
  </si>
  <si>
    <t xml:space="preserve">ADMINISTRACIÓN ADMS, INSTALACIÓN Y CONFIGURACIÓN - PROYECTO SCADA </t>
  </si>
  <si>
    <t xml:space="preserve">TALLER PLAN DE NEGOCIOS - PROGRAMA EMBLEMATICO RENOVA - SEGUNDA FASE </t>
  </si>
  <si>
    <t>EFICIENCIA ENERGÉTICA</t>
  </si>
  <si>
    <t>INDUCCION A LOS INSTRUCTIVOS DE INSPECCIÓN, INSTALACIÓN Y MANTENIMIENTO DE MEDIDORES</t>
  </si>
  <si>
    <t>ELECTRICIDAD BÁSICA</t>
  </si>
  <si>
    <t>EXCEL BÁSICO</t>
  </si>
  <si>
    <t>DEFINICIÓN DE COMPETENCIAS</t>
  </si>
  <si>
    <t xml:space="preserve">SUBSIDIOS QUE OTORGA ELECGALAPAGOS </t>
  </si>
  <si>
    <t>SEGURIDAD BÁSICA - TIPOS DE RIESGOS</t>
  </si>
  <si>
    <t>INTRODUCCIÓN A LA NORMA ISO 9001 - 2008</t>
  </si>
  <si>
    <t>INSTRUCTIVO MANTENIMIENTO EQUIPOS COMERCIALES</t>
  </si>
  <si>
    <t>PROGRAMA DE ESPECIALIZACIÓN TRIBUTARIA</t>
  </si>
  <si>
    <t>PROCESOS CONTRACTUALES DE LOS NUEVOS PROYECTOS BID 3</t>
  </si>
  <si>
    <t>año móvil anterior 
(JULIO 2014-JUNIO 2015)</t>
  </si>
  <si>
    <t>Año móvil
jul14-jun15</t>
  </si>
  <si>
    <t>RSND BID II</t>
  </si>
  <si>
    <t>ÍNDICES DE GESTIÓN - ELECGALAPAGOS</t>
  </si>
  <si>
    <t>INSTALACIÓN Y USO DE RECONECTADORES</t>
  </si>
  <si>
    <t xml:space="preserve">INSTRUCTIVOS RECLAMOS </t>
  </si>
  <si>
    <t>FUNCIONALIDADES DE RECONECTADORES</t>
  </si>
  <si>
    <t>HERRAMIENTAS INFORMÁTICAS (WORD, EXCEL, POWER POINT)</t>
  </si>
  <si>
    <t>PARTICIPACIÓN CIUDADANA Y CONTROL SOCIAL</t>
  </si>
  <si>
    <t>AVANCES TECNOLOGICOS</t>
  </si>
  <si>
    <t>EFECTIVO DESDE MI CELULAR</t>
  </si>
  <si>
    <t>CHARLA LUMINOTECNIA EN SAN CRISTÓBAL</t>
  </si>
  <si>
    <t>OPERACIÓN DEL SISTEMA SCADA</t>
  </si>
  <si>
    <t>CURSO DE ELECTRICISTAS</t>
  </si>
  <si>
    <t>TALLER PLAN DE NEGOCIOS</t>
  </si>
  <si>
    <t>II FASE: SCADA/ OMS - MWMMS</t>
  </si>
  <si>
    <t>EDUCANDO EN FAMILIA PARA LA PREVENCIÓN INTEGRAL DE DROGAS</t>
  </si>
  <si>
    <t>MANUAL DE GESTIÓN DE RIESGOS</t>
  </si>
  <si>
    <t>CONTROL LOSEP (VIRTUAL CONTRALORIA)</t>
  </si>
  <si>
    <t>CONTROL SNCP (VIRTUAL)</t>
  </si>
  <si>
    <t>CAPACITACIÓN ATENCIÓN AL CLIENTE</t>
  </si>
  <si>
    <t>CAPACITACIÓN EN BASES DE LUMINOTECNIA Y POLUCION LUMÍNICA</t>
  </si>
  <si>
    <t>PRESENTACIÓN DEL PROYECTO DE MEDICIÓN DE CONTAMINICION LUMINICA EN PUERTO BARQUERIZO MORENO</t>
  </si>
  <si>
    <t>CAPACITACIÓN SAR</t>
  </si>
  <si>
    <t>PLAN MAESTRO DE ELECTRIFICACION  / POLITICAS PME - PLAN DE EXPANSIÓN</t>
  </si>
  <si>
    <t>ENERO A DICIEMBRE 
2015</t>
  </si>
  <si>
    <t>ENERO A DICIEMBRE  
2014</t>
  </si>
  <si>
    <t xml:space="preserve">Tiempo de interrupción a nivel de cabecera de alimentador primario de distribución </t>
  </si>
  <si>
    <t xml:space="preserve">Frecuencia de interrupción a nivel de cabecera de los alimentadores primarios de distribución </t>
  </si>
  <si>
    <t>META MEER ELECGALAPAGOS 
AÑO MÓVIL</t>
  </si>
  <si>
    <t xml:space="preserve">AHORRO DE COMBUSTIBLE, POR ISLA </t>
  </si>
  <si>
    <t>Ahorro Diesel (Galones)</t>
  </si>
  <si>
    <t>CT(11) San Cristóbal
kWh/galones</t>
  </si>
  <si>
    <t>CT(21) Santa Cruz
kWh/galones</t>
  </si>
  <si>
    <t>CT Isabela
kWh/galones</t>
  </si>
  <si>
    <t>CT Floreana
kWh/galones</t>
  </si>
  <si>
    <t xml:space="preserve">SANTA CRUZ </t>
  </si>
  <si>
    <t>RSND BID III</t>
  </si>
  <si>
    <t>2015-2016</t>
  </si>
  <si>
    <t>Licitación de Servicios</t>
  </si>
  <si>
    <t>METODOLOGIAS DE MANTENIMIENTO DE SEGURIDAD INDUSTRIAL - RIESGOS ERGONÓMICOS</t>
  </si>
  <si>
    <t>TRABAJOS EN ALTURA (DESCENSOS)</t>
  </si>
  <si>
    <t>TRABAJOS EN ALTURA (ASCENSOS)</t>
  </si>
  <si>
    <t>TALLER SOBRE LOS RESULTADOS DE LA AUDITORIA SGC</t>
  </si>
  <si>
    <t>AUDITORIA ISO 9001 - 2008 Y EXPECTATIVAS PARA EL 2017</t>
  </si>
  <si>
    <t>PLAN FAMILIAR</t>
  </si>
  <si>
    <t>FORTALECIMIENTO INSTITUCIONAL</t>
  </si>
  <si>
    <t>NUEVA CODIFICACION Y ACTUALIZACION DE RESOLUCIONES SERCOP</t>
  </si>
  <si>
    <t>CAPACITACION PROTECCIONES Y GESTION DEL MANTENIMIENTO PROGRAMA BID</t>
  </si>
  <si>
    <t>GESTION DE MANTENIMIENTO DE SUBESTACIONES</t>
  </si>
  <si>
    <t>CAPACITACION BRIGADAS: - Prevención y control de incendios / Uso de extintores</t>
  </si>
  <si>
    <t>TÉCNICAS NORMALIZADAS DE RESCATE Y EVACUACION</t>
  </si>
  <si>
    <t>CAPACITACIÓN EVACUACIÓN Y CONTROL DE INCENDIOS</t>
  </si>
  <si>
    <t>TÉCNICAS DE COMUNICACIÓN DE BRIGADAS</t>
  </si>
  <si>
    <t>TÉCNICAS DE PRIMEROS AUXILIOS</t>
  </si>
  <si>
    <t>RIESGOS DEL TRABAJO</t>
  </si>
  <si>
    <t>PLAN FAMILIAR DE EMERGENCIA</t>
  </si>
  <si>
    <t>CHARLA BOMBEROS I (TIPOS DE FUEGO Y EXTINTORES)</t>
  </si>
  <si>
    <t>CHARLA BOMBEROS II (BÚSQUEDA Y RESCATE)</t>
  </si>
  <si>
    <t>PROGRAMAS Y PLANES DE BENEFICIOS DE PROTECCION DE SEGURIDAD GENERAL DE RIESGOS DEL TRABAJO</t>
  </si>
  <si>
    <t>PRIMEROS AUXILIOS</t>
  </si>
  <si>
    <t>BASE DE DATOS PARA HERRAMIENTAS RI-PORTFOLIO</t>
  </si>
  <si>
    <t>NUEVA CODIFICACION Y ACTUALIZACIÓN DE RESOLUCIONES</t>
  </si>
  <si>
    <t>SCADA DATA ENTY</t>
  </si>
  <si>
    <t>MANEJO DE PLATAFORMAS BUILDER DEL SISTEMA ADMS-SCADA</t>
  </si>
  <si>
    <t>OPERACIÓN DEL SISTEMA GALAPAGOS SCADA</t>
  </si>
  <si>
    <t>CONTROL TARIFARIO</t>
  </si>
  <si>
    <t>SEMINARIO TALLER DE LA ESTADÍSTICA DEL SECTOR ELÉCTRICO ECUATORIANO 2016</t>
  </si>
  <si>
    <t>TALLER DE MIGRACIÓN DE BASE DE DATOS PARA SISTEMA ADMINISTRATIVO FINANCIERO SAF</t>
  </si>
  <si>
    <t>MANEJO DE PLATAFORMAS BUILDER DEL SISTEMA ADMS/SCADA Y VALIDACIÓN DE LOS MODELOS ELECTRICOS EN EL ADMS</t>
  </si>
  <si>
    <t>OPERACIÓN DEL SISTEMA DMD Y DMS, OMS, AGC</t>
  </si>
  <si>
    <t xml:space="preserve">PLAN DE FORMACIÓN DE FORMADORES </t>
  </si>
  <si>
    <t>LICENCIA DE PREVENCION DE RIESGOS ELECTRICOS</t>
  </si>
  <si>
    <t>Menor Cuantía de Obras</t>
  </si>
  <si>
    <t>BID III</t>
  </si>
  <si>
    <t>Año 2017</t>
  </si>
  <si>
    <t>Indicador 
N° 02_2</t>
  </si>
  <si>
    <t xml:space="preserve">ACTIVIDADES DE RESPONSABILIDAD SOCIAL </t>
  </si>
  <si>
    <t>ADMINISTRACIÓN DEL CIER</t>
  </si>
  <si>
    <t>ELECGALÁPAGOS viene desarrollado y fortaleciendo su participación con la comunidad y su talento humano. En pos de mejorar su desempeño como empresa socialmente responsable, se ha convertido en una organización competitiva, que bordea la excelencia en sus cometidos para continuar siendo una empresa eficaz, responsable y comprometida con la comunidad.</t>
  </si>
  <si>
    <t>Definición:</t>
  </si>
  <si>
    <t xml:space="preserve">MESES </t>
  </si>
  <si>
    <t xml:space="preserve">Personas </t>
  </si>
  <si>
    <t>Personas</t>
  </si>
  <si>
    <t xml:space="preserve">ACTIVIDADES REALIZADAS </t>
  </si>
  <si>
    <t>Institución</t>
  </si>
  <si>
    <t xml:space="preserve">EVENTOS </t>
  </si>
  <si>
    <t>INSTITUCIONALES</t>
  </si>
  <si>
    <t>PROPIOS</t>
  </si>
  <si>
    <t>EXTERNOS</t>
  </si>
  <si>
    <t xml:space="preserve">VISITANTES </t>
  </si>
  <si>
    <t>Nacionales</t>
  </si>
  <si>
    <t>Extranjeros</t>
  </si>
  <si>
    <t>Fortalecer la participacion con la comunidad y su talento humano.</t>
  </si>
  <si>
    <t>Consumo de combustible (Galones)</t>
  </si>
  <si>
    <t>Generar propuestas coordinadas con las entidades rectoras del sector en el ámbito normativo técnico para la provincia de Galápagos, orientados al uso eficiente de la energía que mitigue el crecimiento indiscriminado de la demanda, lo cual permita una cobertura eficiente y sustentable del servicio de energía eléctrica a la población,</t>
  </si>
  <si>
    <t>AÑO 206</t>
  </si>
  <si>
    <t>Si el valor del indicador es igual o menor a los límites proyectados del año 2017, significa que cumple con la meta trazada.</t>
  </si>
  <si>
    <t>año móvil actual 
(abr 2016- mar 2017)</t>
  </si>
  <si>
    <t>TOTAL/14</t>
  </si>
  <si>
    <t>TOTAL/15</t>
  </si>
  <si>
    <t>TOTAL/16</t>
  </si>
  <si>
    <t>FUENTES DE GENERACIÓN ENERGÉTICA</t>
  </si>
  <si>
    <t>TOTAL DE ENERGÍA GENERADA (MWh)</t>
  </si>
  <si>
    <t>% Energía -renovable-</t>
  </si>
  <si>
    <t>% Energía -convencional-</t>
  </si>
  <si>
    <t>GENERACIÓN PROVINCIAL AÑO 2017</t>
  </si>
  <si>
    <t>Personal Técnico</t>
  </si>
  <si>
    <t>Personal de Oficina</t>
  </si>
  <si>
    <t xml:space="preserve">Reuniones, Capacitación Guías, Presentación Libro, Campeonatos, Exhibiciónes, casa Abierta, Convivencias, Visitas, Talleres, Concierto, Concursos, Reunión, Asamblea, Consejo. </t>
  </si>
  <si>
    <t xml:space="preserve">El pago de horas extras se realiza a mes vencido, es así que en nómina los valores se reflejan en el mes siguiente. </t>
  </si>
  <si>
    <t>CISNERGIA: FORMADOR DE FORMADORES EN EL SISTEMA SIS-CRM NACIONAL FASE 2</t>
  </si>
  <si>
    <t>CISNERGIA: FORMADOR DE FORMADORES EN EL PROCEDIMIENTO DE FICA RECAUDACIÓN Y GESTIÓN DE CARTERA</t>
  </si>
  <si>
    <t>TALLER TÉCNICO FASE DL PROYECTO SCADA</t>
  </si>
  <si>
    <t>TALLER ARCONEL - PRESENTACION DE MATRICES PARA ESTUDIO DE COSTOS</t>
  </si>
  <si>
    <t>GASTOS PERSONALES Y SU ANEXO</t>
  </si>
  <si>
    <t>LICENCIA DE PREVENCIÓN DE RIESGOS ELECTRICOS (MODULO 1)</t>
  </si>
  <si>
    <t>LICENCIA DE PREVENCIÓN DE RIESGOS ELECTRICOS (MODULO 2)</t>
  </si>
  <si>
    <t>LICENCIA DE PREVENCIÓN DE RIESGOS ELECTRICOS (MODULO 3)</t>
  </si>
  <si>
    <t>INSTRUCCIONES DE OPERACIÓN DEL SISTEMA HÍBRIDO</t>
  </si>
  <si>
    <t>AUDITORIA A LOS ESTADOS FINANCIEROS Y EVALUACION DEL CONTROL INTERNO</t>
  </si>
  <si>
    <t>TALLER PARA PRESENTACION DE FORMULARIOS PARA CONTROL 2016 - 2017</t>
  </si>
  <si>
    <t>MANEJO DE SOFTWARE CYMDIST Y METODOLOGÍA DE PÉRIDAS</t>
  </si>
  <si>
    <t>NUEVOS CONCEPTOS ENERGÉTICOS, SOLUCIONES TECNOLÓGICAS, APLICACIONES INNOVADORAS HACIA LA EFICIENCIA ENERGÉTICA DE LA INDUSTRIA Y TURISMO</t>
  </si>
  <si>
    <t>AUTOSUSTENTABILIDAD DEL SISTEMA SCADA, ACTUALIZACION DEL SISTEMA ARCGIS, MANEJO DE BASE DE DATOS DEL GIS, CAPACITACION SOBRE EL USO DE LOS PROGRAMAS ARCMAP Y ARCFM</t>
  </si>
  <si>
    <t>TALLER DISCOVERY PROYECTO OMS</t>
  </si>
  <si>
    <t>NORMAS INSTERNACIONALES DE INFORMACIÓN FINANCIERA NIIF</t>
  </si>
  <si>
    <t>TALLER ARCOTEL</t>
  </si>
  <si>
    <t>TALLER ARCOTEL Y DIRECCION DE COMUNICACIÓN MEER</t>
  </si>
  <si>
    <t>TSUNAMIS - RUTAS DE EVACUACIÓN</t>
  </si>
  <si>
    <t>COORDINACIÓN GENERACION TERMICA</t>
  </si>
  <si>
    <t>Han habido en estos tres meses en que los días de generación son mayores que los dias de facturación, por este motivo las pérdidas mensuales incrementan drásticamente, sin embargo este ajuste se ve reflejado en el siguiente mes con el descenso de las pérdidas mensuales.</t>
  </si>
  <si>
    <t xml:space="preserve"> - Los clientes Tarifa Dignidad están incluidos en clientes Residenciales.</t>
  </si>
  <si>
    <t>(Energía Eólica + Energía Solar) / Galones Consumo de Combustible * 1000</t>
  </si>
  <si>
    <t>El tiempo de interrupción es incidente en la Calidad del Servicio al cliente final, así como también en la imagen corporativa. En cumplimiento con el objetivo nacional, impulsado y liderado por el MEER, se plantea un ajuste gradual de este indicador hasta llegar a cumplir el límite establecido en la Regulación CONELEC 004-01</t>
  </si>
  <si>
    <t xml:space="preserve">La frecuencia de interrupción es incidente en la Calidad del Servicio al cliente final, así como también en la imagen corporativa. En cumplimiento con el objetivo nacional, impulsado y liderado por el MEER, se plantea un ajuste gradual de este indicador hasta llegar a cumplir el límite establecido en la Regulación CONELEC 004-01. </t>
  </si>
  <si>
    <t xml:space="preserve">Dirección Técnica - Jefatura de Distribución </t>
  </si>
  <si>
    <t>-El valor registrado hasta marzo de 2017, no cumple con la meta.</t>
  </si>
  <si>
    <t>Dirección Comercial (SICO)</t>
  </si>
  <si>
    <t xml:space="preserve">Reuniones de trabajo y visitas a las instalaciones </t>
  </si>
  <si>
    <t>Congresos, premiaciones y sesión fotografica</t>
  </si>
  <si>
    <t>Congreso Internacional, taller de cine, Programa Infantil y Ceremonias de Inauguración y Premiación.</t>
  </si>
  <si>
    <t>TOTAL 2017</t>
  </si>
  <si>
    <t>Administración del CIER - Numero de visitantes y eventos realizados</t>
  </si>
  <si>
    <t>Programa Vacacional, Capacitación, Rendición, Inauguración, Ceremonia y Muestra de Cine</t>
  </si>
  <si>
    <t>PAGO HORAS EXTRAS - HISTORICOS</t>
  </si>
  <si>
    <t>ACTUALIZACION CONTABLE NIIF</t>
  </si>
  <si>
    <t>ASESSMENT CENTER</t>
  </si>
  <si>
    <t>MIKROTIK ROUTER OS MODULO MKTCNA</t>
  </si>
  <si>
    <t>CAPACITACION MIKROTIK ROUTER OS MODULO 1 MKTCNA</t>
  </si>
  <si>
    <t>CAPACITACIÓN MIKROTIK ROUTER OS MÓDULO 1 MKTCNA</t>
  </si>
  <si>
    <t>CAPACITACIÓN PEC EN EL NUEVO SISTEMA CIS - CRM</t>
  </si>
  <si>
    <t>XXXII SEMINARIO NACIONAL DEL SECTOR ELÉCTRICO</t>
  </si>
  <si>
    <t>ACTUALIZACIÓN CONTABLE TRIBUTARIA SRI Y NORMAS CONTABLES NIIF (EVENTO 1)</t>
  </si>
  <si>
    <t>ACTUALIZACIÓN CONTABLE TRIBUTARIA SRI Y NORMAS CONTABLES NIIF (EVENTO 2)</t>
  </si>
  <si>
    <t>TALLER DE MIGRACIÓN DE PLATAFORMA 5.04 A 7.1 EN EL SOFTWARE CYMDIST PARA PÉRDIDAS EN TRANSFORMADORES Y LÍNEAS DE BAJA TENSIÓN</t>
  </si>
  <si>
    <t>EVALUACIÓN DE LA CAPACITACIÓN EN BASE AL MODELO KIRKPATRICK</t>
  </si>
  <si>
    <t>CERTFICACIÓN MIKROTIK ROUTER OS MÓDULOS MTCTCE Y MTCRE</t>
  </si>
  <si>
    <t>HOMER</t>
  </si>
  <si>
    <t>TALLER INTEGRAL DE CONTRATACIÓN PÚBLICA PARA PRINCIÍANTES</t>
  </si>
  <si>
    <t>TALLER INTEGRAL DE CONTRATACIÓN PÚBLICA PARA ADMINISTRADORES DE CONTRATO</t>
  </si>
  <si>
    <t>SEMINARIO APLICACIÓN DEL CÓDIGO ORGÁNICO GENERAL DE PROCESOS, GESTIÓN EMPRESARIAL</t>
  </si>
  <si>
    <t>CAPACITACIÓN CALIDAD DE ENERGÍA ELÉCTRICA</t>
  </si>
  <si>
    <t>TALLER DE MANEJO DE FUSIONADORES Y HERRAMIENTAS</t>
  </si>
  <si>
    <t>IDENTIDAD Y LIDERAZGO</t>
  </si>
  <si>
    <t>MÓDULO 2, MTCTCE Y MÓDULO 3 MTCRE</t>
  </si>
  <si>
    <t>TALLER APLICACIÓN DEL PLIEGO TARIFARIO Y ASPECTOS REGULATORIOS DE LA PRESTACIÓN DEL SERVICIO PÚBLICO DE ENERGÍA ELÉCTRICA</t>
  </si>
  <si>
    <t>ESTADÍSTICA DEL SECTOR ELÉCTRICO ECUATORIANO</t>
  </si>
  <si>
    <t>Capacitaciónes, Rendición, Talleres, Ceremonia, Charla, Certificación</t>
  </si>
  <si>
    <t>Curso, Taller, Ceremonia, Visita, Agasajo, Socialización, Inauguraión, Exhibición.</t>
  </si>
  <si>
    <t>Taller, Muestra de Fotografias, Charla, Proyección</t>
  </si>
  <si>
    <t xml:space="preserve">Taller Tecnología Solar, Parlamento Provincial,  Asamblea, Taller, Diálogo </t>
  </si>
  <si>
    <t>Taller PCB, Charla Eficiencia Energética, Taller ECU 911</t>
  </si>
  <si>
    <t>PREVENCIÓN AL USO INDEBIDO DE DROGAS</t>
  </si>
  <si>
    <t>TALLER DE EVALUACIÓN DE INDICADORES Y PROCESOS COMERCIAALES PEC</t>
  </si>
  <si>
    <t>TALLER EN ANALÍTICA ESPACIAL PARA EL ANÁLISIS DE REGRESIÓN ESPACIAL CON R, PARA PREDICCIONES DE LA DEMANDA EN DISTRIBUCIÓN</t>
  </si>
  <si>
    <t>NUEVO CÓDIGO ORGÁNICO ADMINISTRATIVO</t>
  </si>
  <si>
    <t>CAPACITACIÓN NORMAS ISO 9001-2015</t>
  </si>
  <si>
    <t>TIA - PRO 1 SIMATIC TIA PORTAL PROGRAMACIÓN NIVEL 1</t>
  </si>
  <si>
    <t>FORMACIÓN INTERNACIONAL DE BUSSINESS PARTNERSEN EN EL MODELO SEVEN CONCEPT</t>
  </si>
  <si>
    <t xml:space="preserve">CONGRESO PES - IEE TRANSFERENCIA DE TECNOLOGÍA Y EL DESARROLLO DE PROYECTO DE INVESTIGACIÓN </t>
  </si>
  <si>
    <t>MANEJO DE NTWORK BUILDER (CAPACITACIÓN CENTRO DE CONTROL NACIONAL PARA LA ITEGRACIÓN DE RECONECTADORES SCADA)</t>
  </si>
  <si>
    <t>TALLER DE ADQUISICIÓN GENERAL PARA OPERACIONES EN EJECUCIÓN CONFORME LAS POLÍTICAS DEL BID</t>
  </si>
  <si>
    <t>TALLER VIDA SANA</t>
  </si>
  <si>
    <t>RIESGO PSICOSOCIAL</t>
  </si>
  <si>
    <t>CONFORMACION DE BRIGADAS</t>
  </si>
  <si>
    <t>CHARLA BRIGADA CONTRA INCENDIOS Y BUEN USO DE EXTINTORES (TEÓRICO - PRÁCTICO)</t>
  </si>
  <si>
    <t>CHARLA A BRIGADA CONTRA INCENDIOS Y PRÁCTICA EN PLANTA TÉRMICA</t>
  </si>
  <si>
    <t>ANÁLISIS CAUSA RAÍZ</t>
  </si>
  <si>
    <t>CURSO AUDITORES INTERNOS ISO 9001-2015</t>
  </si>
  <si>
    <t>CALIDAD DE ENERGÍA ELÉCTRICA</t>
  </si>
  <si>
    <t>LICENCIAS ELECTRICAS</t>
  </si>
  <si>
    <t>-El valor registrado a diciembre 2017, no cumple con la meta.</t>
  </si>
  <si>
    <t>COTO</t>
  </si>
  <si>
    <t>BID I</t>
  </si>
  <si>
    <t>Menor  Cuantía de Bienes y Servicios</t>
  </si>
  <si>
    <t>Catálogo Electrónico</t>
  </si>
  <si>
    <t>Contratación Directa de Consultoría</t>
  </si>
  <si>
    <t>ADF</t>
  </si>
  <si>
    <t xml:space="preserve">BID III </t>
  </si>
  <si>
    <t>Visita, Mesa, Encuentro, Convivencia, Conversatorio, Socialización, Fiesta, Comité.</t>
  </si>
  <si>
    <t>ENERO A DICIEMBRE
2016</t>
  </si>
  <si>
    <t>ENERO A DICIEMBRE 2017</t>
  </si>
  <si>
    <t>Mediante Oficio Nro. MEER-SEREE-2016-0215-OF enviado por el MEER el 05 de mayo de 2016, nos notifican  la suspensión temporal del Programa Emblemático RENOVA a nivel nacional, mientras se renueva el Decreto Ejecutivo para ampliar la vigencia del mismo. Provocando la restricción para la inscripción de posibles beneficiarios, emisión de contratos y certificados de canje a partir del 14 de mayo de 2016. Una vez sea autorizada la reapertura del Programa se notificará de inmediato a los clientes de ELECGALAPAGOS, con el objeto que puedan aplicar al Programa Emblemático. En el mes de abril 2017, una de las gestiones realizadas por el Ministerio de Industrias y Productividad fue la coordinación de una video conferencia con el Presidente del Gobierno Provincial de Galápagos.</t>
  </si>
  <si>
    <t>Año móvil 
enero - diciembre 17</t>
  </si>
  <si>
    <t>IMPACTACIÓN DE SISTEMAS DE GESTIÓN DE LA ENERGÍA</t>
  </si>
  <si>
    <t>GESTIÓN DE ORDENES DE TRABAJO</t>
  </si>
  <si>
    <t>PROTOCOLOS DE COMUNICACIÓN INDUSTRIAL</t>
  </si>
  <si>
    <t>ALCOHOLISMO, DROGAS, MALTRATO FAMILIAR</t>
  </si>
  <si>
    <t>ACOMETIDAS Y MEDIDORES</t>
  </si>
  <si>
    <t>TÉCNICAS DE EVACUACIÓN</t>
  </si>
  <si>
    <t>PREVENCIÓN INTEGRAL - VIOLENCIA INTRAFAMILIAR</t>
  </si>
  <si>
    <t>CONGRESO INTERNACIONAL DE ENERGÍAS</t>
  </si>
  <si>
    <t>TOTAL/17</t>
  </si>
  <si>
    <t>Actualizacion de avances  RSND BID I, CAF, BID III Y FERUM BID II</t>
  </si>
  <si>
    <t>AÑO 2018</t>
  </si>
  <si>
    <t>Si el valor del indicador es igual o menor a los límites proyectados del año 2018, significa que cumple con la meta trazada.</t>
  </si>
  <si>
    <t>Cotización de obra</t>
  </si>
  <si>
    <t>Año 2018</t>
  </si>
  <si>
    <t>GENERACIÓN PROVINCIAL AÑO 2018</t>
  </si>
  <si>
    <t>SANTA CRUZ - BALTRA
EÓLICO</t>
  </si>
  <si>
    <t>A DICIEMBRE 2017</t>
  </si>
  <si>
    <t>Indicador = FMIK META MEER / FMIK AÑO 2018</t>
  </si>
  <si>
    <t>Indicador = TTIK META MEER / TTIK AÑO 2018</t>
  </si>
  <si>
    <t>ATENCIÓN AL CLIENTE CRM (NUEVO SISTEMA COMERCIAL SAP)</t>
  </si>
  <si>
    <t>RECAUDACIÓN FICA (NUEVO SISTEMA COMERCIAL SAP)</t>
  </si>
  <si>
    <t>ORDENES DE TRABAJO WM (NUEVO SISTEMA COMERCIAL SAP)</t>
  </si>
  <si>
    <t>SOCIALIZACIÓN DEL PLAN DE CONTINGENCIAS ANTE TSUNAMI</t>
  </si>
  <si>
    <t>SIMULACRO DE EVACUACION DE TZUNAMI</t>
  </si>
  <si>
    <t>TALLER PARA EL DESARROLLO DE LOS PROYECTOS DE CALIDAD 2019</t>
  </si>
  <si>
    <t>SOCIALIZACION DE LA REGULACIÓN 05/17 DEL SERVICIO ELECTRICO</t>
  </si>
  <si>
    <t>TALLER DE EVALUACIÓN ASSESSMENT CENTER</t>
  </si>
  <si>
    <t>SISTEMA DE GESTIÓN DE ENERGÍA</t>
  </si>
  <si>
    <t>FORMACIÓN LÍDERES</t>
  </si>
  <si>
    <t>ENTRENAMIENTO FEEDBACK</t>
  </si>
  <si>
    <t>WORKSHOP DESING THINKING PARA TALENTO HUMANO</t>
  </si>
  <si>
    <t>PLANEACIÓN ESTRATÉGICA</t>
  </si>
  <si>
    <t>HOMOLOGACIÓN DE TERMINOS DE FICHAS TÉCNICAS, CATALOGO INCLUSIVO</t>
  </si>
  <si>
    <t>IMPLEMENTACION DE SISTEMAS DE GESTIÓN DE LA ENERGÍA</t>
  </si>
  <si>
    <t>EXPOSICIONES ESTRUCTURALES DE INFORMACIÓN, DISEÑO DE PRESENTACIONES PPT</t>
  </si>
  <si>
    <t>TRABAJO SEGURO EN ALTURAS - NIVEL 1</t>
  </si>
  <si>
    <t>TALLER AUDITORIA DE GESTIÓN DE LA ENERGÍA</t>
  </si>
  <si>
    <t>AUDITORIA DE GESTION - AUDITORIA SGEN 50001</t>
  </si>
  <si>
    <t>ACTUALIZACION CONTABLE TRIBUTARIA</t>
  </si>
  <si>
    <t xml:space="preserve">ULTIMAS REFORMAS TRIBUTARIAS </t>
  </si>
  <si>
    <t>PLANIFICACION ESTRATEGICA</t>
  </si>
  <si>
    <t>NUEVOS PROCEDIMIENTOS JUDICIALES</t>
  </si>
  <si>
    <t>TALLER CULTURAL DESGINER</t>
  </si>
  <si>
    <t>CHARLA DE LEY DE TRANSITO</t>
  </si>
  <si>
    <t>DISEÑO Y APLICACIONES DE ENERGÍA SOLAR FOTOVOLTAICA TBL</t>
  </si>
  <si>
    <t>PRESENTACIONES PODEROSAS - POWER PEOPLE</t>
  </si>
  <si>
    <t>TRABAJO SEGURO EN ALTURAS</t>
  </si>
  <si>
    <t>CHARLA DE ENFERMEDADES POR CAMBIOS CLIMATICOS Y FOCOS INFECCIOSOS - MSP</t>
  </si>
  <si>
    <t>PROMOCION Y PREVENCION DE LA SALUD - VALORACIONES MEDICAS - IESS</t>
  </si>
  <si>
    <t>SEMINARIO DE ACTUALIZACION EN CONTRATACIÓN PÚBLICA</t>
  </si>
  <si>
    <t>FASE DE EJECUCIÓN DE ACUERDO AL COGEP</t>
  </si>
  <si>
    <t>ESTUDIO DE COSTOS 2019</t>
  </si>
  <si>
    <t>NUEVO SISTEMA COMERCIAL SAP - FICA</t>
  </si>
  <si>
    <t xml:space="preserve">SEMINARIO DEL SECTOR ELÉCTRICO ECUATORIANO </t>
  </si>
  <si>
    <t>SISTEMA ADMINISTRATIVO FINANCIERO OLYMPO</t>
  </si>
  <si>
    <t>TALLER SISTEMA CONTRA INCENDIOS</t>
  </si>
  <si>
    <t>TALLER DE ACTUALIZACION DEL SISTEMA NACIONAL DE CONTRATACION PÚBLICA</t>
  </si>
  <si>
    <t>VISION GENERAL DE LA PLANTA HPP</t>
  </si>
  <si>
    <t>CHARLA PREVENTIVA INVERNAL IESS</t>
  </si>
  <si>
    <t>z</t>
  </si>
  <si>
    <t>Presupuesto aprobado según Resolución Nro. JGA-014-2017, del 28 de diciembre de 2018.</t>
  </si>
  <si>
    <t>Taller, Convivencia, Reunión de trabajo, Mesa Técnica, Taller Turismo.</t>
  </si>
  <si>
    <t>Aula Lúdica, Taller E.E. , Rendición, Taller E.E. y Rendición de Cuentas.</t>
  </si>
  <si>
    <t>Convenios MIES, Aula Lúdica, Curso Trabajos en Altura, Mesa del Café.</t>
  </si>
  <si>
    <t>AÑO 2017 NCeT</t>
  </si>
  <si>
    <t>Consultoria Lista Corta</t>
  </si>
  <si>
    <t>Curso Vacacional, Mesa Ganadera, Simposium IESS, Firma Convenios.</t>
  </si>
  <si>
    <t>A ABRIL 2018</t>
  </si>
  <si>
    <t>AÑO 2017 - 2018</t>
  </si>
  <si>
    <t>RESULTADO 2018</t>
  </si>
  <si>
    <t>El Presupuesto de operación del presente ejercicio económico 2018, presenta una ejecución del 11,65% respecto al codificado de $18.841.208, que contemplan costos y gastos de mano de obra, servicio, adquisición de materiales de los diferentes centros de costos: Generación, Distribución, Subtransmisión, Comercialización, SAPG y Administración. No incluyen los costos generados por Termopichincha, debido a que la informaciòn fue proporcionada en el mes de mayo del presente año.  El presupuesto de Inversiones presenta una ejecución del 7,94 de su asignación codificada, las que incluye costos de calidad de años anteriores, proyectos de inversion financiada por el BID, las financiadas por el MEER,  así como las inversiones efectuadas con recursos propios..</t>
  </si>
  <si>
    <t>El valor META corresponde al establecido por el MEER, mediante Oficio  Nro. MEER-SDCE-2017-1500-OF, de fecha 18 de diciembre/2017.</t>
  </si>
  <si>
    <t xml:space="preserve"> ELECGALAPAGOS apoya la ejecución del Proyecto Híbrido Isabela en Galápagos. La informacion se mantiene en los ùltimos 5 meses.</t>
  </si>
  <si>
    <t>Aula Lúdica Caupolicán, Taller Docentes Educación, Sesión Pleno CGREG, MAG: Taller precio prod. Cárnicos</t>
  </si>
  <si>
    <t>INSTRUCTIVO CONTROL DE PERMISOS Y ASISTENCIA</t>
  </si>
  <si>
    <t>USO DE EQUIPOS DE MEDICION PARA LA CALIDAD DEL SERVICIO ELECTRICO</t>
  </si>
  <si>
    <t>HIBRIDO ISABELA: BALANCE PLANTA ELECTRICA</t>
  </si>
  <si>
    <t>HIBRIDO ISABELA: PLANTA TÉRMICA</t>
  </si>
  <si>
    <t>TALLER DE POLÍTICA PÚBLICA DE REPARACIÓN AMBIENTAL -MAE</t>
  </si>
  <si>
    <t>HIBRIDO ISABELA: ALMACENAMIENTO ENERGÍA ESS / PV &amp; ESS</t>
  </si>
  <si>
    <t>HIBRIDO ISABELA: PLANTA FOTOVOLTAICA</t>
  </si>
  <si>
    <t>LUCHA CONTRA EL TABACO: PROGRAMA ECUADOR LIBRE DE HUMO</t>
  </si>
  <si>
    <t>OLYMPO: MODULO ROLES DE PAGO</t>
  </si>
  <si>
    <t>OLYMPO: MODULO VACACIONES - generalidades</t>
  </si>
  <si>
    <t>OLYMPO: MODULO VACACIONES</t>
  </si>
  <si>
    <t>ATENCION CON CALIDAD Y CALIDEZ</t>
  </si>
  <si>
    <t>DIFUSIÓN REGLAMENTO INTERNO DE HIGIENE Y SEGURIDAD</t>
  </si>
  <si>
    <t>PREVENCIÓN DE ENFERMEDADES DE TRANSMISIÓN SEXUAL - VIH</t>
  </si>
  <si>
    <t>La Meta fijada por el MEER para el 2018 es de 8,16%</t>
  </si>
  <si>
    <t>ISABELA FOTOVOLTAICA</t>
  </si>
  <si>
    <t>ISABELA
FOTOVOLTAICA</t>
  </si>
  <si>
    <t>Isabela - Fotovoltica</t>
  </si>
  <si>
    <t>Cultura Designer</t>
  </si>
  <si>
    <t>Actualización Plan Maestro de Electrificación PME-2016-2025</t>
  </si>
  <si>
    <t>TOTAL GENERAL A NIVEL PROVINCIAL ENERO - JULIO 2018</t>
  </si>
  <si>
    <t>TOTAL 2018</t>
  </si>
  <si>
    <t>EJECUCIÓN PRESUPUESTARIA 2018</t>
  </si>
  <si>
    <t>PNG Taller Pesca Atún, CGREG Sesión del Pleno, MEER Campaña E.E., BanEcuador Taller MIES, Delegación Honduras</t>
  </si>
  <si>
    <t>ArcGis Desktop Báasico</t>
  </si>
  <si>
    <t>Construyendo Geodatabase y configurarnado y administrando GDB multiusuarios</t>
  </si>
  <si>
    <t>Gestion y almacenamiento de desechos quimicos peligrosos</t>
  </si>
  <si>
    <t>-La fecha de corte del Avance Físico  y  Contable es 30 de septiembre de 2018</t>
  </si>
  <si>
    <t>Taller Motivacional, Taller Estandares Edificaciones, Aula Lúdica Escuelas Santa Cruz</t>
  </si>
  <si>
    <t>Sistema de Automatización del Sistema Híbrido Isabela</t>
  </si>
  <si>
    <t>Sistema Híbrido Isabela Planta Fotovoltáica</t>
  </si>
  <si>
    <t>Sistema Híbrido Isabela, almacenamiento energía ESS1V&amp;ESS</t>
  </si>
  <si>
    <t>Taller de Política de reparación Ambiental MAE</t>
  </si>
  <si>
    <t>SIPROTEC 5</t>
  </si>
  <si>
    <t>Socialización de control de asistencia en el sistema Olympo</t>
  </si>
  <si>
    <t>MANTENIMIENTO Y OPERACIÓN DE LOS SISTEMAS HIDRAULICOS DE LOS CARROS GRUAS</t>
  </si>
  <si>
    <t>PREVENCION EN RIESGOS LABORALES</t>
  </si>
  <si>
    <t>SISTEMA DE CONTROL PLANTA HIBRIDA</t>
  </si>
  <si>
    <t>CAPACITACION TECNICA SITRAIN</t>
  </si>
  <si>
    <t xml:space="preserve">PLANTA FOTOVOLTAICA Y SISTEMA DE ALMACENAMIENTO DE ENERGIA </t>
  </si>
  <si>
    <t>PUESTA A TIERRA EN SISTEMAS DE DISTRIBUCION</t>
  </si>
  <si>
    <t>GESTION DE RIESGOS ISO 31000:2018</t>
  </si>
  <si>
    <t>ITIL FUNDATION</t>
  </si>
  <si>
    <t>TALLER DE OPERACIÓN Y MANTENIMIENTO CON USO DE DRONES</t>
  </si>
  <si>
    <t>AGUA POTABLE Y SISTEMA DE ALCANTARILLADO</t>
  </si>
  <si>
    <t>ANALISTA Y OPERARIO EN COMPRAS PUBLICAS</t>
  </si>
  <si>
    <t xml:space="preserve">#AulaLúdica, #InducciónBachilleres, ESPOCH, UTN, </t>
  </si>
  <si>
    <t>#AulaLúdica, #InducciónBachilleres, Talleres CGREG, Exámen Bomberos</t>
  </si>
  <si>
    <t>formulado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</si>
</sst>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 #,##0.00_ ;_ * \-#,##0.00_ ;_ * &quot;-&quot;??_ ;_ @_ "/>
    <numFmt numFmtId="165" formatCode="_(&quot;$&quot;\ * #,##0.00_);_(&quot;$&quot;\ * \(#,##0.00\);_(&quot;$&quot;\ * &quot;-&quot;??_);_(@_)"/>
    <numFmt numFmtId="166" formatCode="_-* #,##0.00\ _€_-;\-* #,##0.00\ _€_-;_-* &quot;-&quot;??\ _€_-;_-@_-"/>
    <numFmt numFmtId="167" formatCode="_(* #,##0_);_(* \(#,##0\);_(* &quot;-&quot;??_);_(@_)"/>
    <numFmt numFmtId="168" formatCode="_(* #,##0.0000_);_(* \(#,##0.0000\);_(* &quot;-&quot;??_);_(@_)"/>
    <numFmt numFmtId="169" formatCode="0.0000"/>
    <numFmt numFmtId="170" formatCode="#,##0.0000"/>
    <numFmt numFmtId="171" formatCode="0.000"/>
    <numFmt numFmtId="172" formatCode="_-* #,##0.00\ _P_t_s_-;\-* #,##0.00\ _P_t_s_-;_-* &quot;-&quot;??\ _P_t_s_-;_-@_-"/>
    <numFmt numFmtId="173" formatCode="0.0%"/>
    <numFmt numFmtId="174" formatCode="_(* #,##0.000_);_(* \(#,##0.000\);_(* &quot;-&quot;??_);_(@_)"/>
    <numFmt numFmtId="175" formatCode="_ [$€-2]\ * #,##0.00_ ;_ [$€-2]\ * \-#,##0.00_ ;_ [$€-2]\ * &quot;-&quot;??_ "/>
    <numFmt numFmtId="176" formatCode="_-* #,##0.00\ _$_-;\-* #,##0.00\ _$_-;_-* &quot;-&quot;??\ _$_-;_-@_-"/>
    <numFmt numFmtId="177" formatCode="_-* #,##0.00_-;_-* #,##0.00\-;_-* &quot;-&quot;??_-;_-@_-"/>
    <numFmt numFmtId="178" formatCode="_([$€]* #,##0.00_);_([$€]* \(#,##0.00\);_([$€]* \-??_);_(@_)"/>
    <numFmt numFmtId="179" formatCode="&quot;$&quot;\ #,##0;[Red]&quot;$&quot;\ \-#,##0"/>
    <numFmt numFmtId="180" formatCode="&quot;$&quot;\ #,##0.00"/>
    <numFmt numFmtId="181" formatCode="#,##0.0"/>
    <numFmt numFmtId="182" formatCode="_(* #,##0.000_);_(* \(#,##0.000\);_(* &quot;-&quot;???_);_(@_)"/>
    <numFmt numFmtId="183" formatCode="0.0000000"/>
    <numFmt numFmtId="184" formatCode="_(* #,##0.0_);_(* \(#,##0.0\);_(* &quot;-&quot;??_);_(@_)"/>
    <numFmt numFmtId="185" formatCode="_(* #,##0.00000_);_(* \(#,##0.00000\);_(* &quot;-&quot;??_);_(@_)"/>
    <numFmt numFmtId="186" formatCode="0.000000000"/>
    <numFmt numFmtId="187" formatCode="0.00000000000"/>
    <numFmt numFmtId="188" formatCode="#,##0.000"/>
    <numFmt numFmtId="189" formatCode="[$-300A]General"/>
    <numFmt numFmtId="190" formatCode="_ [$€-2]\ * ###,0&quot;.&quot;00_ ;_ [$€-2]\ * \-###,0&quot;.&quot;00_ ;_ [$€-2]\ * &quot;-&quot;??_ "/>
    <numFmt numFmtId="191" formatCode="_(&quot;$&quot;\ * #.##0.00_);_(&quot;$&quot;\ * \(#.##0.00\);_(&quot;$&quot;\ * &quot;-&quot;??_);_(@_)"/>
  </numFmts>
  <fonts count="25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0"/>
      <name val="Myriad Condensed Web"/>
      <family val="2"/>
    </font>
    <font>
      <sz val="10"/>
      <color theme="1"/>
      <name val="Myriad Condensed Web"/>
      <family val="2"/>
    </font>
    <font>
      <b/>
      <sz val="10"/>
      <name val="Myriad Condensed Web"/>
      <family val="2"/>
    </font>
    <font>
      <sz val="9"/>
      <name val="Myriad Condensed Web"/>
      <family val="2"/>
    </font>
    <font>
      <sz val="10"/>
      <name val="Arial"/>
      <family val="2"/>
    </font>
    <font>
      <sz val="11"/>
      <color theme="1"/>
      <name val="Calibri"/>
      <family val="2"/>
      <scheme val="minor"/>
    </font>
    <font>
      <b/>
      <sz val="9"/>
      <name val="Myriad Condensed Web"/>
      <family val="2"/>
    </font>
    <font>
      <b/>
      <sz val="9"/>
      <color indexed="18"/>
      <name val="Myriad Condensed Web"/>
      <family val="2"/>
    </font>
    <font>
      <vertAlign val="subscript"/>
      <sz val="9"/>
      <name val="Myriad Condensed Web"/>
      <family val="2"/>
    </font>
    <font>
      <b/>
      <u/>
      <sz val="9"/>
      <name val="Myriad Condensed Web"/>
      <family val="2"/>
    </font>
    <font>
      <sz val="9"/>
      <color rgb="FF000000"/>
      <name val="Myriad Condensed Web"/>
      <family val="2"/>
    </font>
    <font>
      <i/>
      <sz val="9"/>
      <name val="Myriad Condensed Web"/>
      <family val="2"/>
    </font>
    <font>
      <sz val="9"/>
      <color indexed="12"/>
      <name val="Myriad Condensed Web"/>
      <family val="2"/>
    </font>
    <font>
      <b/>
      <sz val="9"/>
      <color indexed="10"/>
      <name val="Myriad Condensed Web"/>
      <family val="2"/>
    </font>
    <font>
      <sz val="8"/>
      <name val="Myriad Condensed Web"/>
      <family val="2"/>
    </font>
    <font>
      <sz val="9"/>
      <color theme="1"/>
      <name val="Myriad Condensed Web"/>
      <family val="2"/>
    </font>
    <font>
      <sz val="10"/>
      <color rgb="FFFF0000"/>
      <name val="Myriad Condensed Web"/>
      <family val="2"/>
    </font>
    <font>
      <sz val="8"/>
      <color theme="1"/>
      <name val="Myriad Condensed Web"/>
      <family val="2"/>
    </font>
    <font>
      <b/>
      <sz val="8"/>
      <color theme="1"/>
      <name val="Myriad Condensed Web"/>
      <family val="2"/>
    </font>
    <font>
      <sz val="9"/>
      <color rgb="FFFF0000"/>
      <name val="Myriad Condensed Web"/>
      <family val="2"/>
    </font>
    <font>
      <sz val="9"/>
      <name val="Arial"/>
      <family val="2"/>
    </font>
    <font>
      <sz val="10"/>
      <color theme="1"/>
      <name val="Arial"/>
      <family val="2"/>
    </font>
    <font>
      <b/>
      <sz val="10"/>
      <color theme="1"/>
      <name val="Myriad Condensed Web"/>
    </font>
    <font>
      <b/>
      <sz val="10"/>
      <name val="Myriad Condensed Web"/>
    </font>
    <font>
      <sz val="11"/>
      <color indexed="8"/>
      <name val="Calibri"/>
      <family val="2"/>
    </font>
    <font>
      <sz val="10"/>
      <color theme="0"/>
      <name val="Myriad Condensed Web"/>
      <family val="2"/>
    </font>
    <font>
      <sz val="11"/>
      <color rgb="FFFF0000"/>
      <name val="Calibri"/>
      <family val="2"/>
      <scheme val="minor"/>
    </font>
    <font>
      <sz val="9"/>
      <name val="Myriad Condensed Web"/>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1"/>
      <name val="Myriad Condensed Web"/>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1"/>
      <name val="Calibri"/>
      <family val="2"/>
      <scheme val="minor"/>
    </font>
    <font>
      <b/>
      <sz val="11"/>
      <name val="Calibri"/>
      <family val="2"/>
      <scheme val="minor"/>
    </font>
    <font>
      <sz val="8"/>
      <color theme="1"/>
      <name val="Calibri"/>
      <family val="2"/>
      <scheme val="minor"/>
    </font>
    <font>
      <sz val="11"/>
      <color indexed="8"/>
      <name val="Calibri"/>
      <family val="2"/>
      <scheme val="minor"/>
    </font>
    <font>
      <u/>
      <sz val="8"/>
      <color theme="10"/>
      <name val="Arial"/>
      <family val="2"/>
    </font>
    <font>
      <u/>
      <sz val="11"/>
      <color theme="10"/>
      <name val="Arial"/>
      <family val="2"/>
    </font>
    <font>
      <u/>
      <sz val="12"/>
      <color theme="10"/>
      <name val="Arial"/>
      <family val="2"/>
    </font>
    <font>
      <sz val="11"/>
      <name val="Myriad Condensed Web"/>
      <family val="2"/>
    </font>
    <font>
      <sz val="10"/>
      <name val="Myriad Condensed Web"/>
    </font>
    <font>
      <sz val="11"/>
      <color rgb="FF000000"/>
      <name val="Calibri"/>
      <family val="2"/>
    </font>
    <font>
      <u/>
      <sz val="10"/>
      <color indexed="12"/>
      <name val="Arial"/>
      <family val="2"/>
    </font>
    <font>
      <sz val="10"/>
      <name val="Times New Roman"/>
      <family val="1"/>
    </font>
    <font>
      <sz val="10"/>
      <name val="Arial"/>
      <family val="2"/>
      <charset val="1"/>
    </font>
    <font>
      <sz val="11"/>
      <color theme="1"/>
      <name val="Myriad Condensed Web"/>
      <family val="2"/>
    </font>
    <font>
      <sz val="11"/>
      <color theme="1"/>
      <name val="Arial"/>
      <family val="2"/>
    </font>
    <font>
      <i/>
      <sz val="8"/>
      <name val="Myriad Condensed Web"/>
      <family val="2"/>
    </font>
    <font>
      <b/>
      <sz val="10"/>
      <color theme="1"/>
      <name val="Calibri"/>
      <family val="2"/>
      <scheme val="minor"/>
    </font>
    <font>
      <sz val="10"/>
      <color theme="1"/>
      <name val="Calibri"/>
      <family val="2"/>
      <scheme val="minor"/>
    </font>
    <font>
      <b/>
      <sz val="10"/>
      <name val="Calibri"/>
      <family val="2"/>
      <scheme val="minor"/>
    </font>
    <font>
      <sz val="9"/>
      <color theme="1"/>
      <name val="Calibri"/>
      <family val="2"/>
      <scheme val="minor"/>
    </font>
    <font>
      <b/>
      <sz val="14"/>
      <name val="Myriad Condensed Web"/>
      <family val="2"/>
    </font>
    <font>
      <b/>
      <sz val="11"/>
      <name val="Myriad Condensed Web"/>
      <family val="2"/>
    </font>
    <font>
      <b/>
      <sz val="10"/>
      <color indexed="18"/>
      <name val="Myriad Condensed Web"/>
      <family val="2"/>
    </font>
    <font>
      <sz val="5"/>
      <color theme="1"/>
      <name val="Myriad Condensed Web"/>
      <family val="2"/>
    </font>
    <font>
      <b/>
      <sz val="11"/>
      <color theme="1"/>
      <name val="Myriad Condensed Web"/>
    </font>
    <font>
      <b/>
      <sz val="10"/>
      <color rgb="FFFF0000"/>
      <name val="Myriad Condensed Web"/>
    </font>
    <font>
      <b/>
      <sz val="12"/>
      <name val="Myriad Condensed Web"/>
    </font>
    <font>
      <b/>
      <sz val="10"/>
      <color rgb="FF000000"/>
      <name val="Calibri"/>
      <family val="2"/>
      <scheme val="minor"/>
    </font>
    <font>
      <b/>
      <sz val="13"/>
      <color theme="1"/>
      <name val="Calibri"/>
      <family val="2"/>
      <scheme val="minor"/>
    </font>
    <font>
      <sz val="13"/>
      <color theme="1"/>
      <name val="Calibri"/>
      <family val="2"/>
      <scheme val="minor"/>
    </font>
    <font>
      <b/>
      <sz val="9"/>
      <name val="Myriad Condensed Web"/>
    </font>
    <font>
      <sz val="9"/>
      <color rgb="FFFF0000"/>
      <name val="Arial"/>
      <family val="2"/>
    </font>
    <font>
      <sz val="8"/>
      <name val="Myriad Condensed Web"/>
    </font>
    <font>
      <sz val="10"/>
      <name val="Calibri"/>
      <family val="2"/>
      <scheme val="minor"/>
    </font>
    <font>
      <sz val="10"/>
      <color rgb="FF000000"/>
      <name val="Calibri"/>
      <family val="2"/>
      <scheme val="minor"/>
    </font>
    <font>
      <sz val="14"/>
      <color theme="1"/>
      <name val="Myriad Condensed Web"/>
      <family val="2"/>
    </font>
    <font>
      <sz val="9"/>
      <color theme="1"/>
      <name val="Myriad Condensed Web"/>
    </font>
    <font>
      <sz val="8"/>
      <name val="Arial"/>
      <family val="2"/>
    </font>
    <font>
      <b/>
      <u/>
      <sz val="8"/>
      <name val="Arial"/>
      <family val="2"/>
    </font>
    <font>
      <b/>
      <sz val="11"/>
      <color theme="1"/>
      <name val="Arial"/>
      <family val="2"/>
    </font>
    <font>
      <sz val="11"/>
      <name val="Arial"/>
      <family val="2"/>
    </font>
    <font>
      <sz val="11"/>
      <color rgb="FF000000"/>
      <name val="Arial"/>
      <family val="2"/>
    </font>
    <font>
      <b/>
      <sz val="11"/>
      <color rgb="FF000000"/>
      <name val="Arial"/>
      <family val="2"/>
    </font>
    <font>
      <b/>
      <sz val="12"/>
      <name val="Myriad Condensed Web"/>
      <family val="2"/>
    </font>
    <font>
      <b/>
      <sz val="11"/>
      <name val="Myriad Condensed Web"/>
    </font>
    <font>
      <sz val="10"/>
      <color theme="1"/>
      <name val="Cambria"/>
      <family val="1"/>
    </font>
    <font>
      <sz val="11"/>
      <name val="Cambria"/>
      <family val="1"/>
      <scheme val="major"/>
    </font>
    <font>
      <sz val="11"/>
      <color theme="1"/>
      <name val="Cambria"/>
      <family val="1"/>
      <scheme val="major"/>
    </font>
    <font>
      <b/>
      <sz val="11"/>
      <color rgb="FF000000"/>
      <name val="Cambria"/>
      <family val="1"/>
      <scheme val="major"/>
    </font>
    <font>
      <sz val="12"/>
      <color theme="1"/>
      <name val="Arial"/>
      <family val="2"/>
    </font>
    <font>
      <b/>
      <sz val="11"/>
      <color theme="1"/>
      <name val="Cambria"/>
      <family val="1"/>
      <scheme val="major"/>
    </font>
    <font>
      <b/>
      <sz val="12"/>
      <name val="Arial"/>
      <family val="2"/>
    </font>
    <font>
      <b/>
      <sz val="12"/>
      <color indexed="18"/>
      <name val="Arial"/>
      <family val="2"/>
    </font>
    <font>
      <sz val="12"/>
      <name val="Arial"/>
      <family val="2"/>
    </font>
    <font>
      <b/>
      <sz val="12"/>
      <color theme="1"/>
      <name val="Arial"/>
      <family val="2"/>
    </font>
    <font>
      <sz val="12"/>
      <name val="Myriad Condensed Web"/>
      <family val="2"/>
    </font>
    <font>
      <b/>
      <sz val="15"/>
      <color theme="3"/>
      <name val="Calibri"/>
      <family val="2"/>
      <scheme val="minor"/>
    </font>
    <font>
      <b/>
      <sz val="12"/>
      <color rgb="FFFF0000"/>
      <name val="Arial"/>
      <family val="2"/>
    </font>
    <font>
      <b/>
      <sz val="20"/>
      <color theme="0"/>
      <name val="Arial"/>
      <family val="2"/>
    </font>
    <font>
      <b/>
      <sz val="12"/>
      <color theme="0"/>
      <name val="Arial"/>
      <family val="2"/>
    </font>
    <font>
      <sz val="12"/>
      <color rgb="FFFF0000"/>
      <name val="Arial"/>
      <family val="2"/>
    </font>
    <font>
      <sz val="12"/>
      <color theme="1"/>
      <name val="Cambria"/>
      <family val="1"/>
      <scheme val="major"/>
    </font>
    <font>
      <sz val="12"/>
      <color rgb="FF000000"/>
      <name val="Arial"/>
      <family val="2"/>
    </font>
    <font>
      <b/>
      <sz val="14"/>
      <name val="Arial"/>
      <family val="2"/>
    </font>
    <font>
      <b/>
      <sz val="14"/>
      <color theme="0"/>
      <name val="Cambria"/>
      <family val="1"/>
      <scheme val="major"/>
    </font>
    <font>
      <sz val="14"/>
      <color theme="1"/>
      <name val="Arial"/>
      <family val="2"/>
    </font>
    <font>
      <sz val="12"/>
      <color theme="1"/>
      <name val="Myriad Condensed Web"/>
      <family val="2"/>
    </font>
    <font>
      <sz val="14"/>
      <color rgb="FF000000"/>
      <name val="Arial"/>
      <family val="2"/>
    </font>
    <font>
      <b/>
      <sz val="14"/>
      <color theme="1"/>
      <name val="Arial"/>
      <family val="2"/>
    </font>
    <font>
      <b/>
      <sz val="12"/>
      <color rgb="FF000000"/>
      <name val="Cambria"/>
      <family val="1"/>
      <scheme val="major"/>
    </font>
    <font>
      <b/>
      <sz val="12"/>
      <color theme="1"/>
      <name val="Cambria"/>
      <family val="1"/>
      <scheme val="major"/>
    </font>
    <font>
      <b/>
      <sz val="9"/>
      <color indexed="81"/>
      <name val="Tahoma"/>
      <family val="2"/>
    </font>
    <font>
      <b/>
      <sz val="12"/>
      <color theme="1"/>
      <name val="Myriad Condensed Web"/>
      <family val="2"/>
    </font>
    <font>
      <sz val="11"/>
      <color theme="1"/>
      <name val="Myriad Condensed Web"/>
    </font>
    <font>
      <sz val="11"/>
      <name val="Myriad Condensed Web"/>
    </font>
    <font>
      <b/>
      <sz val="8"/>
      <name val="Calibri"/>
      <family val="2"/>
      <scheme val="minor"/>
    </font>
    <font>
      <sz val="9"/>
      <name val="Calibri"/>
      <family val="2"/>
      <scheme val="minor"/>
    </font>
    <font>
      <b/>
      <sz val="12"/>
      <color rgb="FF000000"/>
      <name val="Arial"/>
      <family val="2"/>
    </font>
    <font>
      <b/>
      <sz val="12"/>
      <color theme="0"/>
      <name val="Cambria"/>
      <family val="1"/>
      <scheme val="major"/>
    </font>
    <font>
      <sz val="12"/>
      <name val="Cambria"/>
      <family val="1"/>
      <scheme val="major"/>
    </font>
    <font>
      <sz val="9"/>
      <color indexed="81"/>
      <name val="Tahoma"/>
      <family val="2"/>
    </font>
    <font>
      <b/>
      <sz val="14"/>
      <color theme="1"/>
      <name val="Myriad Condensed Web"/>
    </font>
    <font>
      <sz val="10"/>
      <color rgb="FF000000"/>
      <name val="Myriad Condensed Web"/>
      <family val="2"/>
    </font>
    <font>
      <sz val="10"/>
      <color rgb="FF000000"/>
      <name val="Arial Unicode MS"/>
      <family val="2"/>
    </font>
    <font>
      <sz val="10"/>
      <color theme="1"/>
      <name val="Arial Unicode MS"/>
      <family val="2"/>
    </font>
    <font>
      <b/>
      <sz val="11"/>
      <color indexed="18"/>
      <name val="Myriad Condensed Web"/>
      <family val="2"/>
    </font>
    <font>
      <b/>
      <sz val="11"/>
      <name val="Cambria"/>
      <family val="1"/>
      <scheme val="major"/>
    </font>
    <font>
      <b/>
      <sz val="11"/>
      <name val="Arial"/>
      <family val="2"/>
    </font>
    <font>
      <b/>
      <sz val="11"/>
      <color indexed="18"/>
      <name val="Arial"/>
      <family val="2"/>
    </font>
    <font>
      <b/>
      <u/>
      <sz val="11"/>
      <name val="Arial"/>
      <family val="2"/>
    </font>
    <font>
      <sz val="11"/>
      <color rgb="FF000000"/>
      <name val="Myriad Condensed Web"/>
      <family val="2"/>
    </font>
    <font>
      <b/>
      <sz val="11"/>
      <color theme="1"/>
      <name val="Myriad Condensed Web"/>
      <family val="2"/>
    </font>
    <font>
      <b/>
      <sz val="12"/>
      <color theme="1"/>
      <name val="Myriad Condensed Web"/>
    </font>
    <font>
      <sz val="12"/>
      <color rgb="FFFF0000"/>
      <name val="Myriad Condensed Web"/>
      <family val="2"/>
    </font>
    <font>
      <b/>
      <sz val="12"/>
      <name val="Cambria"/>
      <family val="1"/>
      <scheme val="major"/>
    </font>
    <font>
      <b/>
      <i/>
      <sz val="10"/>
      <color rgb="FF000099"/>
      <name val="Arial"/>
      <family val="2"/>
    </font>
    <font>
      <sz val="12"/>
      <color rgb="FF000000"/>
      <name val="Myriad Condensed Web"/>
    </font>
    <font>
      <sz val="12"/>
      <color rgb="FF000000"/>
      <name val="Cambria"/>
      <family val="1"/>
    </font>
    <font>
      <sz val="9"/>
      <color theme="1"/>
      <name val="Arial"/>
      <family val="2"/>
    </font>
    <font>
      <b/>
      <sz val="10"/>
      <name val="Arial"/>
      <family val="2"/>
    </font>
    <font>
      <b/>
      <sz val="10"/>
      <color theme="1"/>
      <name val="Arial"/>
      <family val="2"/>
    </font>
    <font>
      <sz val="10"/>
      <color rgb="FF000000"/>
      <name val="Arial"/>
      <family val="2"/>
    </font>
    <font>
      <b/>
      <sz val="10"/>
      <color indexed="8"/>
      <name val="Arial"/>
      <family val="2"/>
    </font>
    <font>
      <sz val="10"/>
      <color indexed="8"/>
      <name val="Arial"/>
      <family val="2"/>
    </font>
    <font>
      <sz val="10"/>
      <color rgb="FFFF0000"/>
      <name val="Arial"/>
      <family val="2"/>
    </font>
    <font>
      <sz val="10"/>
      <name val="Arial Unicode MS"/>
      <family val="2"/>
    </font>
    <font>
      <sz val="11"/>
      <color theme="1"/>
      <name val="Calibri"/>
      <family val="2"/>
    </font>
    <font>
      <b/>
      <sz val="11"/>
      <color theme="1"/>
      <name val="Calibri"/>
      <family val="2"/>
    </font>
    <font>
      <sz val="11"/>
      <color theme="0"/>
      <name val="Calibri"/>
      <family val="2"/>
    </font>
    <font>
      <sz val="11"/>
      <color rgb="FF006100"/>
      <name val="Calibri"/>
      <family val="2"/>
    </font>
    <font>
      <b/>
      <sz val="11"/>
      <color rgb="FFFA7D00"/>
      <name val="Calibri"/>
      <family val="2"/>
    </font>
    <font>
      <b/>
      <sz val="11"/>
      <color theme="0"/>
      <name val="Calibri"/>
      <family val="2"/>
    </font>
    <font>
      <sz val="11"/>
      <color rgb="FFFA7D00"/>
      <name val="Calibri"/>
      <family val="2"/>
    </font>
    <font>
      <b/>
      <sz val="11"/>
      <color theme="3"/>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sz val="11"/>
      <color rgb="FFFF0000"/>
      <name val="Calibri"/>
      <family val="2"/>
    </font>
    <font>
      <i/>
      <sz val="11"/>
      <color rgb="FF7F7F7F"/>
      <name val="Calibri"/>
      <family val="2"/>
    </font>
    <font>
      <b/>
      <sz val="15"/>
      <color theme="3"/>
      <name val="Calibri"/>
      <family val="2"/>
    </font>
    <font>
      <b/>
      <sz val="13"/>
      <color theme="3"/>
      <name val="Calibri"/>
      <family val="2"/>
    </font>
    <font>
      <sz val="8"/>
      <color rgb="FF000000"/>
      <name val="Arial"/>
      <family val="2"/>
    </font>
    <font>
      <b/>
      <sz val="18"/>
      <color rgb="FF1F497D"/>
      <name val="Cambria"/>
      <family val="1"/>
    </font>
    <font>
      <b/>
      <sz val="11"/>
      <color rgb="FFFFFFFF"/>
      <name val="Calibri"/>
      <family val="2"/>
    </font>
    <font>
      <b/>
      <sz val="11"/>
      <color rgb="FF000000"/>
      <name val="Calibri"/>
      <family val="2"/>
    </font>
    <font>
      <sz val="11"/>
      <color rgb="FFFFFFFF"/>
      <name val="Calibri"/>
      <family val="2"/>
    </font>
    <font>
      <sz val="11"/>
      <color rgb="FF008000"/>
      <name val="Calibri"/>
      <family val="2"/>
    </font>
    <font>
      <b/>
      <sz val="11"/>
      <color rgb="FFFF9900"/>
      <name val="Calibri"/>
      <family val="2"/>
    </font>
    <font>
      <sz val="11"/>
      <color rgb="FFFF9900"/>
      <name val="Calibri"/>
      <family val="2"/>
    </font>
    <font>
      <b/>
      <sz val="11"/>
      <color rgb="FF003366"/>
      <name val="Calibri"/>
      <family val="2"/>
    </font>
    <font>
      <sz val="11"/>
      <color rgb="FF333399"/>
      <name val="Calibri"/>
      <family val="2"/>
    </font>
    <font>
      <sz val="11"/>
      <color rgb="FF800080"/>
      <name val="Calibri"/>
      <family val="2"/>
    </font>
    <font>
      <sz val="11"/>
      <color rgb="FF993300"/>
      <name val="Calibri"/>
      <family val="2"/>
    </font>
    <font>
      <b/>
      <sz val="11"/>
      <color rgb="FF333333"/>
      <name val="Calibri"/>
      <family val="2"/>
    </font>
    <font>
      <i/>
      <sz val="11"/>
      <color rgb="FF808080"/>
      <name val="Calibri"/>
      <family val="2"/>
    </font>
    <font>
      <b/>
      <sz val="18"/>
      <color rgb="FF003366"/>
      <name val="Cambria"/>
      <family val="1"/>
    </font>
    <font>
      <b/>
      <sz val="15"/>
      <color rgb="FF003366"/>
      <name val="Calibri"/>
      <family val="2"/>
    </font>
    <font>
      <b/>
      <sz val="13"/>
      <color rgb="FF003366"/>
      <name val="Calibri"/>
      <family val="2"/>
    </font>
    <font>
      <u/>
      <sz val="10"/>
      <color rgb="FF0000FF"/>
      <name val="Arial"/>
      <family val="2"/>
    </font>
    <font>
      <sz val="10"/>
      <color rgb="FF000000"/>
      <name val="Times New Roman"/>
      <family val="1"/>
    </font>
    <font>
      <b/>
      <sz val="9"/>
      <color rgb="FF000000"/>
      <name val="Myriad Condensed Web"/>
    </font>
    <font>
      <i/>
      <sz val="9"/>
      <color rgb="FF000000"/>
      <name val="Calibri"/>
      <family val="2"/>
    </font>
  </fonts>
  <fills count="132">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92D050"/>
        <bgColor indexed="64"/>
      </patternFill>
    </fill>
    <fill>
      <patternFill patternType="solid">
        <fgColor rgb="FFD8E781"/>
        <bgColor indexed="64"/>
      </patternFill>
    </fill>
    <fill>
      <patternFill patternType="solid">
        <fgColor theme="7" tint="0.79998168889431442"/>
        <bgColor indexed="64"/>
      </patternFill>
    </fill>
    <fill>
      <patternFill patternType="solid">
        <fgColor indexed="43"/>
        <bgColor indexed="26"/>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rgb="FFCCECFF"/>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indexed="31"/>
        <bgColor indexed="64"/>
      </patternFill>
    </fill>
    <fill>
      <patternFill patternType="solid">
        <fgColor theme="8" tint="0.59999389629810485"/>
        <bgColor indexed="64"/>
      </patternFill>
    </fill>
    <fill>
      <patternFill patternType="solid">
        <fgColor rgb="FFFF6600"/>
        <bgColor indexed="64"/>
      </patternFill>
    </fill>
    <fill>
      <patternFill patternType="solid">
        <fgColor rgb="FFCC0066"/>
        <bgColor indexed="64"/>
      </patternFill>
    </fill>
    <fill>
      <patternFill patternType="solid">
        <fgColor rgb="FF0070C0"/>
        <bgColor indexed="64"/>
      </patternFill>
    </fill>
    <fill>
      <patternFill patternType="solid">
        <fgColor theme="1"/>
        <bgColor indexed="64"/>
      </patternFill>
    </fill>
    <fill>
      <patternFill patternType="solid">
        <fgColor rgb="FF00EE8E"/>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rgb="FF00B0F0"/>
        <bgColor indexed="64"/>
      </patternFill>
    </fill>
    <fill>
      <patternFill patternType="solid">
        <fgColor theme="2" tint="-0.499984740745262"/>
        <bgColor indexed="64"/>
      </patternFill>
    </fill>
    <fill>
      <patternFill patternType="solid">
        <fgColor theme="3" tint="-0.249977111117893"/>
        <bgColor indexed="64"/>
      </patternFill>
    </fill>
    <fill>
      <gradientFill type="path" left="0.5" right="0.5" top="0.5" bottom="0.5">
        <stop position="0">
          <color theme="0"/>
        </stop>
        <stop position="1">
          <color theme="4"/>
        </stop>
      </gradientFill>
    </fill>
    <fill>
      <patternFill patternType="solid">
        <fgColor theme="6" tint="-0.249977111117893"/>
        <bgColor indexed="64"/>
      </patternFill>
    </fill>
    <fill>
      <patternFill patternType="solid">
        <fgColor theme="5" tint="0.39997558519241921"/>
        <bgColor indexed="64"/>
      </patternFill>
    </fill>
    <fill>
      <patternFill patternType="solid">
        <fgColor rgb="FFFFFFFF"/>
        <bgColor rgb="FF000000"/>
      </patternFill>
    </fill>
    <fill>
      <patternFill patternType="solid">
        <fgColor rgb="FFFFFFFF"/>
        <bgColor indexed="64"/>
      </patternFill>
    </fill>
    <fill>
      <patternFill patternType="solid">
        <fgColor rgb="FFFFCC99"/>
        <bgColor rgb="FFFFFFFF"/>
      </patternFill>
    </fill>
    <fill>
      <patternFill patternType="solid">
        <fgColor rgb="FFDCE6F1"/>
        <bgColor rgb="FFFFFFFF"/>
      </patternFill>
    </fill>
    <fill>
      <patternFill patternType="solid">
        <fgColor rgb="FFB8CCE4"/>
        <bgColor rgb="FFFFFFFF"/>
      </patternFill>
    </fill>
    <fill>
      <patternFill patternType="solid">
        <fgColor rgb="FFF2DCDB"/>
        <bgColor rgb="FFFFFFFF"/>
      </patternFill>
    </fill>
    <fill>
      <patternFill patternType="solid">
        <fgColor rgb="FFE6B8B7"/>
        <bgColor rgb="FFFFFFFF"/>
      </patternFill>
    </fill>
    <fill>
      <patternFill patternType="solid">
        <fgColor rgb="FFEBF1DC"/>
        <bgColor rgb="FFFFFFFF"/>
      </patternFill>
    </fill>
    <fill>
      <patternFill patternType="solid">
        <fgColor rgb="FFD7E3BB"/>
        <bgColor rgb="FFFFFFFF"/>
      </patternFill>
    </fill>
    <fill>
      <patternFill patternType="solid">
        <fgColor rgb="FFE4DFEC"/>
        <bgColor rgb="FFFFFFFF"/>
      </patternFill>
    </fill>
    <fill>
      <patternFill patternType="solid">
        <fgColor rgb="FFCCC0DA"/>
        <bgColor rgb="FFFFFFFF"/>
      </patternFill>
    </fill>
    <fill>
      <patternFill patternType="solid">
        <fgColor rgb="FFDAEEF3"/>
        <bgColor rgb="FFFFFFFF"/>
      </patternFill>
    </fill>
    <fill>
      <patternFill patternType="solid">
        <fgColor rgb="FFB7DEE8"/>
        <bgColor rgb="FFFFFFFF"/>
      </patternFill>
    </fill>
    <fill>
      <patternFill patternType="solid">
        <fgColor rgb="FFFDE9D9"/>
        <bgColor rgb="FFFFFFFF"/>
      </patternFill>
    </fill>
    <fill>
      <patternFill patternType="solid">
        <fgColor rgb="FFFCD5B4"/>
        <bgColor rgb="FFFFFFFF"/>
      </patternFill>
    </fill>
    <fill>
      <patternFill patternType="solid">
        <fgColor rgb="FFCCCCFF"/>
        <bgColor rgb="FFFFFFFF"/>
      </patternFill>
    </fill>
    <fill>
      <patternFill patternType="solid">
        <fgColor rgb="FFFF99CC"/>
        <bgColor rgb="FFFFFFFF"/>
      </patternFill>
    </fill>
    <fill>
      <patternFill patternType="solid">
        <fgColor rgb="FFCCFFCC"/>
        <bgColor rgb="FFFFFFFF"/>
      </patternFill>
    </fill>
    <fill>
      <patternFill patternType="solid">
        <fgColor rgb="FFCC99FF"/>
        <bgColor rgb="FFFFFFFF"/>
      </patternFill>
    </fill>
    <fill>
      <patternFill patternType="solid">
        <fgColor rgb="FFCCFFFF"/>
        <bgColor rgb="FFFFFFFF"/>
      </patternFill>
    </fill>
    <fill>
      <patternFill patternType="solid">
        <fgColor rgb="FF99CCFF"/>
        <bgColor rgb="FFFFFFFF"/>
      </patternFill>
    </fill>
    <fill>
      <patternFill patternType="solid">
        <fgColor rgb="FFFF8080"/>
        <bgColor rgb="FFFFFFFF"/>
      </patternFill>
    </fill>
    <fill>
      <patternFill patternType="solid">
        <fgColor rgb="FF00FF00"/>
        <bgColor rgb="FFFFFFFF"/>
      </patternFill>
    </fill>
    <fill>
      <patternFill patternType="solid">
        <fgColor rgb="FFFFCC00"/>
        <bgColor rgb="FFFFFFFF"/>
      </patternFill>
    </fill>
    <fill>
      <patternFill patternType="solid">
        <fgColor rgb="FF0066CC"/>
        <bgColor rgb="FFFFFFFF"/>
      </patternFill>
    </fill>
    <fill>
      <patternFill patternType="solid">
        <fgColor rgb="FF800080"/>
        <bgColor rgb="FFFFFFFF"/>
      </patternFill>
    </fill>
    <fill>
      <patternFill patternType="solid">
        <fgColor rgb="FF33CCCC"/>
        <bgColor rgb="FFFFFFFF"/>
      </patternFill>
    </fill>
    <fill>
      <patternFill patternType="solid">
        <fgColor rgb="FFFF9900"/>
        <bgColor rgb="FFFFFFFF"/>
      </patternFill>
    </fill>
    <fill>
      <patternFill patternType="solid">
        <fgColor rgb="FFC0C0C0"/>
        <bgColor rgb="FFFFFFFF"/>
      </patternFill>
    </fill>
    <fill>
      <patternFill patternType="solid">
        <fgColor rgb="FF969696"/>
        <bgColor rgb="FFFFFFFF"/>
      </patternFill>
    </fill>
    <fill>
      <patternFill patternType="solid">
        <fgColor rgb="FF333399"/>
        <bgColor rgb="FFFFFFFF"/>
      </patternFill>
    </fill>
    <fill>
      <patternFill patternType="solid">
        <fgColor rgb="FFFF0000"/>
        <bgColor rgb="FFFFFFFF"/>
      </patternFill>
    </fill>
    <fill>
      <patternFill patternType="solid">
        <fgColor rgb="FF339966"/>
        <bgColor rgb="FFFFFFFF"/>
      </patternFill>
    </fill>
    <fill>
      <patternFill patternType="solid">
        <fgColor rgb="FFFF6600"/>
        <bgColor rgb="FFFFFFFF"/>
      </patternFill>
    </fill>
    <fill>
      <patternFill patternType="solid">
        <fgColor rgb="FFFFFF99"/>
        <bgColor rgb="FFFFFFFF"/>
      </patternFill>
    </fill>
    <fill>
      <patternFill patternType="solid">
        <fgColor rgb="FFFFFFCC"/>
        <bgColor rgb="FFFFFFFF"/>
      </patternFill>
    </fill>
    <fill>
      <patternFill patternType="solid">
        <fgColor rgb="FFA7C0DE"/>
        <bgColor rgb="FFFFFFFF"/>
      </patternFill>
    </fill>
  </fills>
  <borders count="258">
    <border>
      <left/>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bottom/>
      <diagonal/>
    </border>
    <border>
      <left style="double">
        <color indexed="64"/>
      </left>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thin">
        <color indexed="64"/>
      </top>
      <bottom style="thin">
        <color indexed="64"/>
      </bottom>
      <diagonal/>
    </border>
    <border>
      <left/>
      <right style="thin">
        <color indexed="64"/>
      </right>
      <top style="thin">
        <color indexed="64"/>
      </top>
      <bottom style="double">
        <color indexed="64"/>
      </bottom>
      <diagonal/>
    </border>
    <border>
      <left/>
      <right style="double">
        <color indexed="64"/>
      </right>
      <top style="thin">
        <color indexed="64"/>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top style="thin">
        <color indexed="64"/>
      </top>
      <bottom style="double">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hair">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style="hair">
        <color indexed="64"/>
      </right>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hair">
        <color indexed="64"/>
      </top>
      <bottom/>
      <diagonal/>
    </border>
    <border>
      <left style="double">
        <color indexed="64"/>
      </left>
      <right/>
      <top style="double">
        <color indexed="64"/>
      </top>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bottom style="hair">
        <color indexed="64"/>
      </bottom>
      <diagonal/>
    </border>
    <border>
      <left/>
      <right style="double">
        <color indexed="64"/>
      </right>
      <top style="double">
        <color indexed="64"/>
      </top>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auto="1"/>
      </top>
      <bottom/>
      <diagonal/>
    </border>
    <border>
      <left/>
      <right style="medium">
        <color indexed="64"/>
      </right>
      <top style="medium">
        <color indexed="64"/>
      </top>
      <bottom style="hair">
        <color indexed="64"/>
      </bottom>
      <diagonal/>
    </border>
    <border>
      <left style="thin">
        <color indexed="64"/>
      </left>
      <right style="thin">
        <color indexed="64"/>
      </right>
      <top style="dashed">
        <color indexed="64"/>
      </top>
      <bottom/>
      <diagonal/>
    </border>
    <border>
      <left/>
      <right/>
      <top style="dashed">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style="thin">
        <color indexed="64"/>
      </bottom>
      <diagonal/>
    </border>
    <border>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hair">
        <color indexed="64"/>
      </top>
      <bottom/>
      <diagonal/>
    </border>
    <border>
      <left style="medium">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thin">
        <color indexed="64"/>
      </bottom>
      <diagonal/>
    </border>
    <border>
      <left/>
      <right style="medium">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right style="double">
        <color indexed="64"/>
      </right>
      <top style="medium">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top/>
      <bottom style="hair">
        <color indexed="64"/>
      </bottom>
      <diagonal/>
    </border>
    <border>
      <left style="thin">
        <color indexed="64"/>
      </left>
      <right/>
      <top/>
      <bottom style="double">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top/>
      <bottom style="thick">
        <color theme="4"/>
      </bottom>
      <diagonal/>
    </border>
    <border>
      <left/>
      <right style="medium">
        <color indexed="64"/>
      </right>
      <top/>
      <bottom style="hair">
        <color indexed="64"/>
      </bottom>
      <diagonal/>
    </border>
    <border>
      <left style="hair">
        <color indexed="64"/>
      </left>
      <right/>
      <top/>
      <bottom/>
      <diagonal/>
    </border>
    <border>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top style="medium">
        <color indexed="64"/>
      </top>
      <bottom style="double">
        <color indexed="64"/>
      </bottom>
      <diagonal/>
    </border>
    <border>
      <left/>
      <right style="hair">
        <color indexed="64"/>
      </right>
      <top style="medium">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medium">
        <color indexed="64"/>
      </right>
      <top/>
      <bottom style="thin">
        <color indexed="64"/>
      </bottom>
      <diagonal/>
    </border>
    <border>
      <left style="hair">
        <color indexed="64"/>
      </left>
      <right style="medium">
        <color indexed="64"/>
      </right>
      <top style="hair">
        <color indexed="64"/>
      </top>
      <bottom/>
      <diagonal/>
    </border>
    <border>
      <left style="thin">
        <color indexed="64"/>
      </left>
      <right style="hair">
        <color indexed="64"/>
      </right>
      <top style="thin">
        <color indexed="64"/>
      </top>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diagonal/>
    </border>
    <border>
      <left style="hair">
        <color indexed="64"/>
      </left>
      <right style="thin">
        <color indexed="64"/>
      </right>
      <top/>
      <bottom/>
      <diagonal/>
    </border>
    <border>
      <left style="hair">
        <color indexed="64"/>
      </left>
      <right/>
      <top style="hair">
        <color indexed="64"/>
      </top>
      <bottom/>
      <diagonal/>
    </border>
    <border>
      <left style="medium">
        <color theme="1"/>
      </left>
      <right style="thin">
        <color indexed="64"/>
      </right>
      <top style="medium">
        <color theme="1"/>
      </top>
      <bottom style="medium">
        <color theme="1"/>
      </bottom>
      <diagonal/>
    </border>
    <border>
      <left/>
      <right style="thin">
        <color indexed="64"/>
      </right>
      <top style="medium">
        <color theme="1"/>
      </top>
      <bottom style="medium">
        <color theme="1"/>
      </bottom>
      <diagonal/>
    </border>
    <border>
      <left style="medium">
        <color theme="1"/>
      </left>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s>
  <cellStyleXfs count="2667">
    <xf numFmtId="0" fontId="0" fillId="0" borderId="0"/>
    <xf numFmtId="43" fontId="48" fillId="0" borderId="0" applyFont="0" applyFill="0" applyBorder="0" applyAlignment="0" applyProtection="0"/>
    <xf numFmtId="0" fontId="53" fillId="0" borderId="0"/>
    <xf numFmtId="9" fontId="53" fillId="0" borderId="0" applyFont="0" applyFill="0" applyBorder="0" applyAlignment="0" applyProtection="0"/>
    <xf numFmtId="164" fontId="53" fillId="0" borderId="0" applyFont="0" applyFill="0" applyBorder="0" applyAlignment="0" applyProtection="0"/>
    <xf numFmtId="0" fontId="54" fillId="0" borderId="0"/>
    <xf numFmtId="9" fontId="48" fillId="0" borderId="0" applyFont="0" applyFill="0" applyBorder="0" applyAlignment="0" applyProtection="0"/>
    <xf numFmtId="0" fontId="53" fillId="0" borderId="0"/>
    <xf numFmtId="0" fontId="53" fillId="0" borderId="0"/>
    <xf numFmtId="164" fontId="5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54" fillId="0" borderId="0" applyFont="0" applyFill="0" applyBorder="0" applyAlignment="0" applyProtection="0"/>
    <xf numFmtId="0" fontId="48" fillId="0" borderId="0"/>
    <xf numFmtId="9" fontId="54" fillId="0" borderId="0" applyFont="0" applyFill="0" applyBorder="0" applyAlignment="0" applyProtection="0"/>
    <xf numFmtId="0" fontId="47" fillId="0" borderId="0"/>
    <xf numFmtId="172" fontId="53" fillId="0" borderId="0" applyFont="0" applyFill="0" applyBorder="0" applyAlignment="0" applyProtection="0"/>
    <xf numFmtId="166" fontId="53" fillId="0" borderId="0" applyFont="0" applyFill="0" applyBorder="0" applyAlignment="0" applyProtection="0"/>
    <xf numFmtId="43" fontId="53" fillId="0" borderId="0" applyFont="0" applyFill="0" applyBorder="0" applyAlignment="0" applyProtection="0"/>
    <xf numFmtId="0" fontId="46" fillId="0" borderId="0"/>
    <xf numFmtId="0" fontId="46" fillId="0" borderId="0"/>
    <xf numFmtId="0" fontId="53" fillId="0" borderId="0"/>
    <xf numFmtId="9" fontId="73" fillId="0" borderId="0" applyFont="0" applyFill="0" applyBorder="0" applyAlignment="0" applyProtection="0"/>
    <xf numFmtId="0" fontId="45" fillId="0" borderId="0"/>
    <xf numFmtId="0" fontId="44" fillId="0" borderId="0"/>
    <xf numFmtId="43" fontId="44" fillId="0" borderId="0" applyFont="0" applyFill="0" applyBorder="0" applyAlignment="0" applyProtection="0"/>
    <xf numFmtId="0" fontId="77" fillId="0" borderId="0" applyNumberFormat="0" applyFill="0" applyBorder="0" applyAlignment="0" applyProtection="0"/>
    <xf numFmtId="0" fontId="78" fillId="0" borderId="159" applyNumberFormat="0" applyFill="0" applyAlignment="0" applyProtection="0"/>
    <xf numFmtId="0" fontId="79" fillId="0" borderId="160" applyNumberFormat="0" applyFill="0" applyAlignment="0" applyProtection="0"/>
    <xf numFmtId="0" fontId="79" fillId="0" borderId="0" applyNumberFormat="0" applyFill="0" applyBorder="0" applyAlignment="0" applyProtection="0"/>
    <xf numFmtId="0" fontId="80" fillId="11" borderId="0" applyNumberFormat="0" applyBorder="0" applyAlignment="0" applyProtection="0"/>
    <xf numFmtId="0" fontId="81" fillId="12" borderId="0" applyNumberFormat="0" applyBorder="0" applyAlignment="0" applyProtection="0"/>
    <xf numFmtId="0" fontId="82" fillId="13" borderId="0" applyNumberFormat="0" applyBorder="0" applyAlignment="0" applyProtection="0"/>
    <xf numFmtId="0" fontId="83" fillId="14" borderId="161" applyNumberFormat="0" applyAlignment="0" applyProtection="0"/>
    <xf numFmtId="0" fontId="84" fillId="15" borderId="162" applyNumberFormat="0" applyAlignment="0" applyProtection="0"/>
    <xf numFmtId="0" fontId="85" fillId="15" borderId="161" applyNumberFormat="0" applyAlignment="0" applyProtection="0"/>
    <xf numFmtId="0" fontId="86" fillId="0" borderId="163" applyNumberFormat="0" applyFill="0" applyAlignment="0" applyProtection="0"/>
    <xf numFmtId="0" fontId="87" fillId="16" borderId="164" applyNumberFormat="0" applyAlignment="0" applyProtection="0"/>
    <xf numFmtId="0" fontId="75" fillId="0" borderId="0" applyNumberFormat="0" applyFill="0" applyBorder="0" applyAlignment="0" applyProtection="0"/>
    <xf numFmtId="0" fontId="88" fillId="0" borderId="0" applyNumberFormat="0" applyFill="0" applyBorder="0" applyAlignment="0" applyProtection="0"/>
    <xf numFmtId="0" fontId="89" fillId="0" borderId="166" applyNumberFormat="0" applyFill="0" applyAlignment="0" applyProtection="0"/>
    <xf numFmtId="0" fontId="90"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43" fillId="35" borderId="0" applyNumberFormat="0" applyBorder="0" applyAlignment="0" applyProtection="0"/>
    <xf numFmtId="0" fontId="43"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90" fillId="41" borderId="0" applyNumberFormat="0" applyBorder="0" applyAlignment="0" applyProtection="0"/>
    <xf numFmtId="0" fontId="43" fillId="0" borderId="0"/>
    <xf numFmtId="0" fontId="73" fillId="42"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4" fillId="56" borderId="169" applyNumberFormat="0" applyAlignment="0" applyProtection="0"/>
    <xf numFmtId="0" fontId="94" fillId="56" borderId="169" applyNumberFormat="0" applyAlignment="0" applyProtection="0"/>
    <xf numFmtId="0" fontId="95" fillId="57" borderId="170" applyNumberFormat="0" applyAlignment="0" applyProtection="0"/>
    <xf numFmtId="0" fontId="95" fillId="57" borderId="170" applyNumberFormat="0" applyAlignment="0" applyProtection="0"/>
    <xf numFmtId="0" fontId="96" fillId="0" borderId="171" applyNumberFormat="0" applyFill="0" applyAlignment="0" applyProtection="0"/>
    <xf numFmtId="0" fontId="96" fillId="0" borderId="171"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53"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8" fillId="47" borderId="169" applyNumberFormat="0" applyAlignment="0" applyProtection="0"/>
    <xf numFmtId="0" fontId="98" fillId="47" borderId="169" applyNumberFormat="0" applyAlignment="0" applyProtection="0"/>
    <xf numFmtId="0" fontId="99" fillId="43" borderId="0" applyNumberFormat="0" applyBorder="0" applyAlignment="0" applyProtection="0"/>
    <xf numFmtId="0" fontId="99" fillId="43" borderId="0" applyNumberFormat="0" applyBorder="0" applyAlignment="0" applyProtection="0"/>
    <xf numFmtId="43" fontId="4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53" fillId="0" borderId="0"/>
    <xf numFmtId="0" fontId="43" fillId="0" borderId="0"/>
    <xf numFmtId="0" fontId="53" fillId="0" borderId="0"/>
    <xf numFmtId="0" fontId="43" fillId="17" borderId="165" applyNumberFormat="0" applyFont="0" applyAlignment="0" applyProtection="0"/>
    <xf numFmtId="0" fontId="53" fillId="63" borderId="173" applyNumberFormat="0" applyFont="0" applyAlignment="0" applyProtection="0"/>
    <xf numFmtId="0" fontId="53" fillId="63" borderId="173" applyNumberFormat="0" applyFont="0" applyAlignment="0" applyProtection="0"/>
    <xf numFmtId="9" fontId="4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01" fillId="56" borderId="174" applyNumberFormat="0" applyAlignment="0" applyProtection="0"/>
    <xf numFmtId="0" fontId="101" fillId="56" borderId="174" applyNumberFormat="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5" fillId="0" borderId="172" applyNumberFormat="0" applyFill="0" applyAlignment="0" applyProtection="0"/>
    <xf numFmtId="0" fontId="105" fillId="0" borderId="172" applyNumberFormat="0" applyFill="0" applyAlignment="0" applyProtection="0"/>
    <xf numFmtId="0" fontId="106" fillId="0" borderId="175" applyNumberFormat="0" applyFill="0" applyAlignment="0" applyProtection="0"/>
    <xf numFmtId="0" fontId="106" fillId="0" borderId="175" applyNumberFormat="0" applyFill="0" applyAlignment="0" applyProtection="0"/>
    <xf numFmtId="0" fontId="97" fillId="0" borderId="176" applyNumberFormat="0" applyFill="0" applyAlignment="0" applyProtection="0"/>
    <xf numFmtId="0" fontId="97" fillId="0" borderId="176"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7" fillId="0" borderId="177" applyNumberFormat="0" applyFill="0" applyAlignment="0" applyProtection="0"/>
    <xf numFmtId="0" fontId="107" fillId="0" borderId="177" applyNumberFormat="0" applyFill="0" applyAlignment="0" applyProtection="0"/>
    <xf numFmtId="165" fontId="48" fillId="0" borderId="0" applyFont="0" applyFill="0" applyBorder="0" applyAlignment="0" applyProtection="0"/>
    <xf numFmtId="0" fontId="112" fillId="0" borderId="0" applyNumberFormat="0" applyFill="0" applyBorder="0" applyAlignment="0" applyProtection="0"/>
    <xf numFmtId="0" fontId="42" fillId="0" borderId="0"/>
    <xf numFmtId="9" fontId="42" fillId="0" borderId="0" applyFont="0" applyFill="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45" borderId="0" applyNumberFormat="0" applyBorder="0" applyAlignment="0" applyProtection="0"/>
    <xf numFmtId="0" fontId="73" fillId="48" borderId="0" applyNumberFormat="0" applyBorder="0" applyAlignment="0" applyProtection="0"/>
    <xf numFmtId="0" fontId="73" fillId="51" borderId="0" applyNumberFormat="0" applyBorder="0" applyAlignment="0" applyProtection="0"/>
    <xf numFmtId="0" fontId="92" fillId="52"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92" fillId="55" borderId="0" applyNumberFormat="0" applyBorder="0" applyAlignment="0" applyProtection="0"/>
    <xf numFmtId="0" fontId="92" fillId="58" borderId="0" applyNumberFormat="0" applyBorder="0" applyAlignment="0" applyProtection="0"/>
    <xf numFmtId="0" fontId="92" fillId="59" borderId="0" applyNumberFormat="0" applyBorder="0" applyAlignment="0" applyProtection="0"/>
    <xf numFmtId="0" fontId="92" fillId="60"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92" fillId="61" borderId="0" applyNumberFormat="0" applyBorder="0" applyAlignment="0" applyProtection="0"/>
    <xf numFmtId="0" fontId="53" fillId="0" borderId="0" applyNumberFormat="0" applyFill="0" applyBorder="0" applyAlignment="0" applyProtection="0"/>
    <xf numFmtId="0" fontId="99" fillId="43" borderId="0" applyNumberFormat="0" applyBorder="0" applyAlignment="0" applyProtection="0"/>
    <xf numFmtId="0" fontId="94" fillId="56" borderId="169" applyNumberFormat="0" applyAlignment="0" applyProtection="0"/>
    <xf numFmtId="0" fontId="95" fillId="57" borderId="170" applyNumberFormat="0" applyAlignment="0" applyProtection="0"/>
    <xf numFmtId="175" fontId="53" fillId="0" borderId="0" applyFont="0" applyFill="0" applyBorder="0" applyAlignment="0" applyProtection="0"/>
    <xf numFmtId="178" fontId="53" fillId="0" borderId="0" applyFill="0" applyBorder="0" applyAlignment="0" applyProtection="0"/>
    <xf numFmtId="0" fontId="103" fillId="0" borderId="0" applyNumberFormat="0" applyFill="0" applyBorder="0" applyAlignment="0" applyProtection="0"/>
    <xf numFmtId="0" fontId="93" fillId="44" borderId="0" applyNumberFormat="0" applyBorder="0" applyAlignment="0" applyProtection="0"/>
    <xf numFmtId="0" fontId="105" fillId="0" borderId="172" applyNumberFormat="0" applyFill="0" applyAlignment="0" applyProtection="0"/>
    <xf numFmtId="0" fontId="106" fillId="0" borderId="175" applyNumberFormat="0" applyFill="0" applyAlignment="0" applyProtection="0"/>
    <xf numFmtId="0" fontId="97" fillId="0" borderId="176" applyNumberFormat="0" applyFill="0" applyAlignment="0" applyProtection="0"/>
    <xf numFmtId="0" fontId="97" fillId="0" borderId="0" applyNumberFormat="0" applyFill="0" applyBorder="0" applyAlignment="0" applyProtection="0"/>
    <xf numFmtId="0" fontId="118" fillId="0" borderId="0" applyNumberFormat="0" applyFill="0" applyBorder="0" applyAlignment="0" applyProtection="0">
      <alignment vertical="top"/>
      <protection locked="0"/>
    </xf>
    <xf numFmtId="0" fontId="98" fillId="47" borderId="169" applyNumberFormat="0" applyAlignment="0" applyProtection="0"/>
    <xf numFmtId="0" fontId="96" fillId="0" borderId="171" applyNumberFormat="0" applyFill="0" applyAlignment="0" applyProtection="0"/>
    <xf numFmtId="43" fontId="73" fillId="0" borderId="0" applyFont="0" applyFill="0" applyBorder="0" applyAlignment="0" applyProtection="0"/>
    <xf numFmtId="164" fontId="119"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77" fontId="53" fillId="0" borderId="0" applyFont="0" applyFill="0" applyBorder="0" applyAlignment="0" applyProtection="0"/>
    <xf numFmtId="0" fontId="53" fillId="0" borderId="0" applyFont="0" applyFill="0" applyBorder="0" applyAlignment="0" applyProtection="0"/>
    <xf numFmtId="179" fontId="53" fillId="0" borderId="0" applyFont="0" applyFill="0" applyBorder="0" applyAlignment="0" applyProtection="0"/>
    <xf numFmtId="177"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100" fillId="67" borderId="0" applyNumberFormat="0" applyBorder="0" applyAlignment="0" applyProtection="0"/>
    <xf numFmtId="0" fontId="120" fillId="0" borderId="0"/>
    <xf numFmtId="0" fontId="120" fillId="0" borderId="0"/>
    <xf numFmtId="0" fontId="42" fillId="0" borderId="0"/>
    <xf numFmtId="0" fontId="53" fillId="0" borderId="0"/>
    <xf numFmtId="0" fontId="42" fillId="0" borderId="0"/>
    <xf numFmtId="0" fontId="42" fillId="0" borderId="0"/>
    <xf numFmtId="0" fontId="73" fillId="63" borderId="173" applyNumberFormat="0" applyFont="0" applyAlignment="0" applyProtection="0"/>
    <xf numFmtId="0" fontId="53" fillId="63" borderId="173" applyNumberFormat="0" applyFont="0" applyAlignment="0" applyProtection="0"/>
    <xf numFmtId="0" fontId="53" fillId="63" borderId="173" applyNumberFormat="0" applyFont="0" applyAlignment="0" applyProtection="0"/>
    <xf numFmtId="0" fontId="101" fillId="56" borderId="174" applyNumberFormat="0" applyAlignment="0" applyProtection="0"/>
    <xf numFmtId="9" fontId="73" fillId="0" borderId="0" applyFont="0" applyFill="0" applyBorder="0" applyAlignment="0" applyProtection="0"/>
    <xf numFmtId="9" fontId="73" fillId="0" borderId="0" applyFont="0" applyFill="0" applyBorder="0" applyAlignment="0" applyProtection="0"/>
    <xf numFmtId="0" fontId="104" fillId="0" borderId="0" applyNumberFormat="0" applyFill="0" applyBorder="0" applyAlignment="0" applyProtection="0"/>
    <xf numFmtId="0" fontId="102" fillId="0" borderId="0" applyNumberFormat="0" applyFill="0" applyBorder="0" applyAlignment="0" applyProtection="0"/>
    <xf numFmtId="9" fontId="42" fillId="0" borderId="0" applyFont="0" applyFill="0" applyBorder="0" applyAlignment="0" applyProtection="0"/>
    <xf numFmtId="0" fontId="41" fillId="0" borderId="0"/>
    <xf numFmtId="0" fontId="40" fillId="0" borderId="0"/>
    <xf numFmtId="0" fontId="39" fillId="0" borderId="0"/>
    <xf numFmtId="165"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0" fontId="37" fillId="0" borderId="0"/>
    <xf numFmtId="0" fontId="48" fillId="0" borderId="0"/>
    <xf numFmtId="9" fontId="48"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0" fontId="53" fillId="0" borderId="0"/>
    <xf numFmtId="0" fontId="36" fillId="0" borderId="0"/>
    <xf numFmtId="165" fontId="36" fillId="0" borderId="0" applyFont="0" applyFill="0" applyBorder="0" applyAlignment="0" applyProtection="0"/>
    <xf numFmtId="165" fontId="36" fillId="0" borderId="0" applyFont="0" applyFill="0" applyBorder="0" applyAlignment="0" applyProtection="0"/>
    <xf numFmtId="43" fontId="36"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43" fontId="35" fillId="0" borderId="0" applyFont="0" applyFill="0" applyBorder="0" applyAlignment="0" applyProtection="0"/>
    <xf numFmtId="0" fontId="35" fillId="0" borderId="0"/>
    <xf numFmtId="9" fontId="35" fillId="0" borderId="0" applyFont="0" applyFill="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0" borderId="0" applyNumberFormat="0" applyBorder="0" applyAlignment="0" applyProtection="0"/>
    <xf numFmtId="0" fontId="35" fillId="0" borderId="0"/>
    <xf numFmtId="0" fontId="35" fillId="17" borderId="165" applyNumberFormat="0" applyFont="0" applyAlignment="0" applyProtection="0"/>
    <xf numFmtId="0" fontId="34" fillId="0" borderId="0"/>
    <xf numFmtId="0" fontId="34" fillId="0" borderId="0"/>
    <xf numFmtId="9" fontId="34" fillId="0" borderId="0" applyFont="0" applyFill="0" applyBorder="0" applyAlignment="0" applyProtection="0"/>
    <xf numFmtId="0" fontId="33"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0" fontId="30" fillId="0" borderId="0"/>
    <xf numFmtId="0" fontId="30" fillId="19"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30" fillId="40" borderId="0" applyNumberFormat="0" applyBorder="0" applyAlignment="0" applyProtection="0"/>
    <xf numFmtId="43" fontId="30" fillId="0" borderId="0" applyFont="0" applyFill="0" applyBorder="0" applyAlignment="0" applyProtection="0"/>
    <xf numFmtId="0" fontId="30" fillId="0" borderId="0"/>
    <xf numFmtId="0" fontId="30" fillId="17" borderId="165" applyNumberFormat="0" applyFont="0" applyAlignment="0" applyProtection="0"/>
    <xf numFmtId="9" fontId="30"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5" fillId="0" borderId="0"/>
    <xf numFmtId="0" fontId="24" fillId="0" borderId="0"/>
    <xf numFmtId="9" fontId="24" fillId="0" borderId="0" applyFont="0" applyFill="0" applyBorder="0" applyAlignment="0" applyProtection="0"/>
    <xf numFmtId="0" fontId="23" fillId="0" borderId="0"/>
    <xf numFmtId="0" fontId="21" fillId="0" borderId="0"/>
    <xf numFmtId="0" fontId="164" fillId="0" borderId="207" applyNumberFormat="0" applyFill="0" applyAlignment="0" applyProtection="0"/>
    <xf numFmtId="0" fontId="20" fillId="0" borderId="0"/>
    <xf numFmtId="0" fontId="20" fillId="17" borderId="165"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77"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9" fillId="0" borderId="0"/>
    <xf numFmtId="0" fontId="19" fillId="17" borderId="165"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43" fontId="17" fillId="0" borderId="0" applyFont="0" applyFill="0" applyBorder="0" applyAlignment="0" applyProtection="0"/>
    <xf numFmtId="0" fontId="17" fillId="0" borderId="0"/>
    <xf numFmtId="0" fontId="17" fillId="17" borderId="165" applyNumberFormat="0" applyFont="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165"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165" fontId="17" fillId="0" borderId="0" applyFont="0" applyFill="0" applyBorder="0" applyAlignment="0" applyProtection="0"/>
    <xf numFmtId="43" fontId="17" fillId="0" borderId="0" applyFont="0" applyFill="0" applyBorder="0" applyAlignment="0" applyProtection="0"/>
    <xf numFmtId="0" fontId="17" fillId="0" borderId="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0" fontId="17" fillId="0" borderId="0"/>
    <xf numFmtId="165"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0" fontId="17" fillId="0" borderId="0"/>
    <xf numFmtId="0" fontId="53" fillId="0" borderId="0"/>
    <xf numFmtId="0" fontId="169" fillId="92" borderId="7" applyBorder="0">
      <alignment horizontal="center" vertical="center"/>
    </xf>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48" fillId="0" borderId="0" applyFont="0" applyFill="0" applyBorder="0" applyAlignment="0" applyProtection="0"/>
    <xf numFmtId="164" fontId="53" fillId="0" borderId="0" applyFont="0" applyFill="0" applyBorder="0" applyAlignment="0" applyProtection="0"/>
    <xf numFmtId="0" fontId="14" fillId="0" borderId="0"/>
    <xf numFmtId="164" fontId="48" fillId="0" borderId="0" applyFont="0" applyFill="0" applyBorder="0" applyAlignment="0" applyProtection="0"/>
    <xf numFmtId="164" fontId="48"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164" fontId="14"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14" fillId="0" borderId="0"/>
    <xf numFmtId="0" fontId="14" fillId="17" borderId="165" applyNumberFormat="0" applyFont="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164" fontId="73" fillId="0" borderId="0" applyFont="0" applyFill="0" applyBorder="0" applyAlignment="0" applyProtection="0"/>
    <xf numFmtId="164" fontId="119"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165" fontId="14"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165" fontId="14" fillId="0" borderId="0" applyFont="0" applyFill="0" applyBorder="0" applyAlignment="0" applyProtection="0"/>
    <xf numFmtId="164"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0" borderId="0"/>
    <xf numFmtId="0" fontId="14" fillId="17" borderId="165" applyNumberFormat="0" applyFont="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164" fontId="14" fillId="0" borderId="0" applyFont="0" applyFill="0" applyBorder="0" applyAlignment="0" applyProtection="0"/>
    <xf numFmtId="0" fontId="14" fillId="0" borderId="0"/>
    <xf numFmtId="0" fontId="14" fillId="17" borderId="165" applyNumberFormat="0" applyFont="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17" borderId="165"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4" fillId="17" borderId="165"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164" fontId="14" fillId="0" borderId="0" applyFont="0" applyFill="0" applyBorder="0" applyAlignment="0" applyProtection="0"/>
    <xf numFmtId="0" fontId="14" fillId="0" borderId="0"/>
    <xf numFmtId="0" fontId="14" fillId="17" borderId="165" applyNumberFormat="0" applyFont="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165" fontId="14"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165" fontId="14" fillId="0" borderId="0" applyFont="0" applyFill="0" applyBorder="0" applyAlignment="0" applyProtection="0"/>
    <xf numFmtId="164"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53"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4" fontId="13"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164" fontId="1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13" fillId="0" borderId="0"/>
    <xf numFmtId="0" fontId="13" fillId="17" borderId="165" applyNumberFormat="0" applyFont="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164" fontId="119"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165" fontId="13"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165" fontId="13" fillId="0" borderId="0" applyFont="0" applyFill="0" applyBorder="0" applyAlignment="0" applyProtection="0"/>
    <xf numFmtId="164"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0" fontId="12" fillId="17" borderId="165"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12" fillId="0" borderId="0" applyNumberForma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164" fontId="119"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2" fillId="0" borderId="0" applyFont="0" applyFill="0" applyBorder="0" applyAlignment="0" applyProtection="0"/>
    <xf numFmtId="164" fontId="53" fillId="0" borderId="0" applyFont="0" applyFill="0" applyBorder="0" applyAlignment="0" applyProtection="0"/>
    <xf numFmtId="164" fontId="12" fillId="0" borderId="0" applyFont="0" applyFill="0" applyBorder="0" applyAlignment="0" applyProtection="0"/>
    <xf numFmtId="164" fontId="53" fillId="0" borderId="0" applyFont="0" applyFill="0" applyBorder="0" applyAlignment="0" applyProtection="0"/>
    <xf numFmtId="164" fontId="1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7" borderId="165" applyNumberFormat="0" applyFont="0" applyAlignment="0" applyProtection="0"/>
    <xf numFmtId="0" fontId="12" fillId="17" borderId="165"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164" fontId="53"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8"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164" fontId="8"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8" fillId="0" borderId="0"/>
    <xf numFmtId="0" fontId="8" fillId="17" borderId="165" applyNumberFormat="0" applyFont="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164" fontId="119"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165" fontId="8" fillId="0" borderId="0" applyFont="0" applyFill="0" applyBorder="0" applyAlignment="0" applyProtection="0"/>
    <xf numFmtId="164"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0" borderId="0"/>
    <xf numFmtId="0" fontId="8" fillId="17" borderId="165" applyNumberFormat="0" applyFont="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0" fontId="8" fillId="0" borderId="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164" fontId="8" fillId="0" borderId="0" applyFont="0" applyFill="0" applyBorder="0" applyAlignment="0" applyProtection="0"/>
    <xf numFmtId="0" fontId="8" fillId="0" borderId="0"/>
    <xf numFmtId="0" fontId="8" fillId="17" borderId="165" applyNumberFormat="0" applyFont="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164" fontId="48" fillId="0" borderId="0" applyFont="0" applyFill="0" applyBorder="0" applyAlignment="0" applyProtection="0"/>
    <xf numFmtId="0" fontId="8" fillId="0" borderId="0"/>
    <xf numFmtId="164"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43" fontId="73" fillId="0" borderId="0" applyFont="0" applyFill="0" applyBorder="0" applyAlignment="0" applyProtection="0"/>
    <xf numFmtId="0" fontId="6" fillId="0" borderId="0"/>
    <xf numFmtId="0" fontId="6" fillId="0" borderId="0"/>
    <xf numFmtId="0" fontId="6" fillId="0" borderId="0"/>
    <xf numFmtId="43"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6" fillId="0" borderId="0"/>
    <xf numFmtId="189" fontId="117" fillId="0" borderId="0" applyBorder="0" applyProtection="0"/>
    <xf numFmtId="0" fontId="77" fillId="0" borderId="0" applyNumberFormat="0" applyFill="0" applyBorder="0" applyAlignment="0" applyProtection="0"/>
    <xf numFmtId="0" fontId="82" fillId="13" borderId="0" applyNumberFormat="0" applyBorder="0" applyAlignment="0" applyProtection="0"/>
    <xf numFmtId="0" fontId="90" fillId="21" borderId="0" applyNumberFormat="0" applyBorder="0" applyAlignment="0" applyProtection="0"/>
    <xf numFmtId="0" fontId="90" fillId="25" borderId="0" applyNumberFormat="0" applyBorder="0" applyAlignment="0" applyProtection="0"/>
    <xf numFmtId="0" fontId="90" fillId="29" borderId="0" applyNumberFormat="0" applyBorder="0" applyAlignment="0" applyProtection="0"/>
    <xf numFmtId="0" fontId="90" fillId="33" borderId="0" applyNumberFormat="0" applyBorder="0" applyAlignment="0" applyProtection="0"/>
    <xf numFmtId="0" fontId="90" fillId="37" borderId="0" applyNumberFormat="0" applyBorder="0" applyAlignment="0" applyProtection="0"/>
    <xf numFmtId="0" fontId="90" fillId="41" borderId="0" applyNumberFormat="0" applyBorder="0" applyAlignment="0" applyProtection="0"/>
    <xf numFmtId="0" fontId="214" fillId="19" borderId="0" applyNumberFormat="0" applyBorder="0" applyAlignment="0" applyProtection="0"/>
    <xf numFmtId="0" fontId="214" fillId="23" borderId="0" applyNumberFormat="0" applyBorder="0" applyAlignment="0" applyProtection="0"/>
    <xf numFmtId="0" fontId="214" fillId="27" borderId="0" applyNumberFormat="0" applyBorder="0" applyAlignment="0" applyProtection="0"/>
    <xf numFmtId="0" fontId="214" fillId="31" borderId="0" applyNumberFormat="0" applyBorder="0" applyAlignment="0" applyProtection="0"/>
    <xf numFmtId="0" fontId="214" fillId="35" borderId="0" applyNumberFormat="0" applyBorder="0" applyAlignment="0" applyProtection="0"/>
    <xf numFmtId="0" fontId="214" fillId="39" borderId="0" applyNumberFormat="0" applyBorder="0" applyAlignment="0" applyProtection="0"/>
    <xf numFmtId="0" fontId="214" fillId="20" borderId="0" applyNumberFormat="0" applyBorder="0" applyAlignment="0" applyProtection="0"/>
    <xf numFmtId="0" fontId="214" fillId="24" borderId="0" applyNumberFormat="0" applyBorder="0" applyAlignment="0" applyProtection="0"/>
    <xf numFmtId="0" fontId="214" fillId="28" borderId="0" applyNumberFormat="0" applyBorder="0" applyAlignment="0" applyProtection="0"/>
    <xf numFmtId="0" fontId="214" fillId="32" borderId="0" applyNumberFormat="0" applyBorder="0" applyAlignment="0" applyProtection="0"/>
    <xf numFmtId="0" fontId="214" fillId="36" borderId="0" applyNumberFormat="0" applyBorder="0" applyAlignment="0" applyProtection="0"/>
    <xf numFmtId="0" fontId="214" fillId="40" borderId="0" applyNumberFormat="0" applyBorder="0" applyAlignment="0" applyProtection="0"/>
    <xf numFmtId="0" fontId="216" fillId="21" borderId="0" applyNumberFormat="0" applyBorder="0" applyAlignment="0" applyProtection="0"/>
    <xf numFmtId="0" fontId="216" fillId="25" borderId="0" applyNumberFormat="0" applyBorder="0" applyAlignment="0" applyProtection="0"/>
    <xf numFmtId="0" fontId="216" fillId="29" borderId="0" applyNumberFormat="0" applyBorder="0" applyAlignment="0" applyProtection="0"/>
    <xf numFmtId="0" fontId="216" fillId="33" borderId="0" applyNumberFormat="0" applyBorder="0" applyAlignment="0" applyProtection="0"/>
    <xf numFmtId="0" fontId="216" fillId="37" borderId="0" applyNumberFormat="0" applyBorder="0" applyAlignment="0" applyProtection="0"/>
    <xf numFmtId="0" fontId="216" fillId="41" borderId="0" applyNumberFormat="0" applyBorder="0" applyAlignment="0" applyProtection="0"/>
    <xf numFmtId="0" fontId="217" fillId="11" borderId="0" applyNumberFormat="0" applyBorder="0" applyAlignment="0" applyProtection="0"/>
    <xf numFmtId="0" fontId="218" fillId="15" borderId="161" applyNumberFormat="0" applyAlignment="0" applyProtection="0"/>
    <xf numFmtId="0" fontId="219" fillId="16" borderId="164" applyNumberFormat="0" applyAlignment="0" applyProtection="0"/>
    <xf numFmtId="0" fontId="220" fillId="0" borderId="163" applyNumberFormat="0" applyFill="0" applyAlignment="0" applyProtection="0"/>
    <xf numFmtId="0" fontId="221" fillId="0" borderId="0" applyNumberFormat="0" applyFill="0" applyBorder="0" applyAlignment="0" applyProtection="0"/>
    <xf numFmtId="0" fontId="216" fillId="18" borderId="0" applyNumberFormat="0" applyBorder="0" applyAlignment="0" applyProtection="0"/>
    <xf numFmtId="0" fontId="216" fillId="22" borderId="0" applyNumberFormat="0" applyBorder="0" applyAlignment="0" applyProtection="0"/>
    <xf numFmtId="0" fontId="216" fillId="26" borderId="0" applyNumberFormat="0" applyBorder="0" applyAlignment="0" applyProtection="0"/>
    <xf numFmtId="0" fontId="216" fillId="30" borderId="0" applyNumberFormat="0" applyBorder="0" applyAlignment="0" applyProtection="0"/>
    <xf numFmtId="0" fontId="216" fillId="34" borderId="0" applyNumberFormat="0" applyBorder="0" applyAlignment="0" applyProtection="0"/>
    <xf numFmtId="0" fontId="216" fillId="38" borderId="0" applyNumberFormat="0" applyBorder="0" applyAlignment="0" applyProtection="0"/>
    <xf numFmtId="0" fontId="222" fillId="14" borderId="161" applyNumberFormat="0" applyAlignment="0" applyProtection="0"/>
    <xf numFmtId="0" fontId="223" fillId="12" borderId="0" applyNumberFormat="0" applyBorder="0" applyAlignment="0" applyProtection="0"/>
    <xf numFmtId="0" fontId="224" fillId="13" borderId="0" applyNumberFormat="0" applyBorder="0" applyAlignment="0" applyProtection="0"/>
    <xf numFmtId="0" fontId="214" fillId="0" borderId="0"/>
    <xf numFmtId="0" fontId="214" fillId="17" borderId="165" applyNumberFormat="0" applyFont="0" applyAlignment="0" applyProtection="0"/>
    <xf numFmtId="0" fontId="6" fillId="17" borderId="165" applyNumberFormat="0" applyFont="0" applyAlignment="0" applyProtection="0"/>
    <xf numFmtId="0" fontId="225" fillId="15" borderId="162" applyNumberFormat="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0" borderId="207" applyNumberFormat="0" applyFill="0" applyAlignment="0" applyProtection="0"/>
    <xf numFmtId="0" fontId="229" fillId="0" borderId="159" applyNumberFormat="0" applyFill="0" applyAlignment="0" applyProtection="0"/>
    <xf numFmtId="0" fontId="221" fillId="0" borderId="160" applyNumberFormat="0" applyFill="0" applyAlignment="0" applyProtection="0"/>
    <xf numFmtId="0" fontId="215" fillId="0" borderId="166" applyNumberFormat="0" applyFill="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4" fillId="56" borderId="169" applyNumberFormat="0" applyAlignment="0" applyProtection="0"/>
    <xf numFmtId="0" fontId="94" fillId="56" borderId="169" applyNumberFormat="0" applyAlignment="0" applyProtection="0"/>
    <xf numFmtId="0" fontId="98" fillId="47" borderId="169" applyNumberFormat="0" applyAlignment="0" applyProtection="0"/>
    <xf numFmtId="0" fontId="98" fillId="47" borderId="169" applyNumberFormat="0" applyAlignment="0" applyProtection="0"/>
    <xf numFmtId="0" fontId="53" fillId="63" borderId="173" applyNumberFormat="0" applyFont="0" applyAlignment="0" applyProtection="0"/>
    <xf numFmtId="0" fontId="53" fillId="63" borderId="173" applyNumberFormat="0" applyFont="0" applyAlignment="0" applyProtection="0"/>
    <xf numFmtId="0" fontId="53" fillId="63" borderId="173" applyNumberFormat="0" applyFont="0" applyAlignment="0" applyProtection="0"/>
    <xf numFmtId="0" fontId="101" fillId="56" borderId="174" applyNumberFormat="0" applyAlignment="0" applyProtection="0"/>
    <xf numFmtId="0" fontId="101" fillId="56" borderId="174" applyNumberFormat="0" applyAlignment="0" applyProtection="0"/>
    <xf numFmtId="0" fontId="107" fillId="0" borderId="177" applyNumberFormat="0" applyFill="0" applyAlignment="0" applyProtection="0"/>
    <xf numFmtId="164" fontId="73" fillId="0" borderId="0" applyFont="0" applyFill="0" applyBorder="0" applyAlignment="0" applyProtection="0"/>
    <xf numFmtId="164" fontId="53" fillId="0" borderId="0" applyFont="0" applyFill="0" applyBorder="0" applyAlignment="0" applyProtection="0"/>
    <xf numFmtId="0" fontId="93" fillId="44" borderId="0" applyNumberFormat="0" applyBorder="0" applyAlignment="0" applyProtection="0"/>
    <xf numFmtId="43" fontId="6" fillId="0" borderId="0" applyFont="0" applyFill="0" applyBorder="0" applyAlignment="0" applyProtection="0"/>
    <xf numFmtId="166" fontId="6" fillId="0" borderId="0" applyFont="0" applyFill="0" applyBorder="0" applyAlignment="0" applyProtection="0"/>
    <xf numFmtId="190" fontId="53" fillId="0" borderId="0" applyFont="0" applyFill="0" applyBorder="0" applyAlignment="0" applyProtection="0"/>
    <xf numFmtId="0" fontId="53" fillId="0" borderId="0"/>
    <xf numFmtId="43" fontId="53"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43" fontId="6" fillId="0" borderId="0" applyFont="0" applyFill="0" applyBorder="0" applyAlignment="0" applyProtection="0"/>
    <xf numFmtId="0" fontId="90" fillId="30" borderId="0" applyNumberFormat="0" applyBorder="0" applyAlignment="0" applyProtection="0"/>
    <xf numFmtId="0" fontId="90" fillId="29" borderId="0" applyNumberFormat="0" applyBorder="0" applyAlignment="0" applyProtection="0"/>
    <xf numFmtId="0" fontId="77" fillId="0" borderId="0" applyNumberFormat="0" applyFill="0" applyBorder="0" applyAlignment="0" applyProtection="0"/>
    <xf numFmtId="0" fontId="5" fillId="0" borderId="0"/>
    <xf numFmtId="0" fontId="78" fillId="0" borderId="159" applyNumberFormat="0" applyFill="0" applyAlignment="0" applyProtection="0"/>
    <xf numFmtId="0" fontId="90" fillId="18" borderId="0" applyNumberFormat="0" applyBorder="0" applyAlignment="0" applyProtection="0"/>
    <xf numFmtId="0" fontId="5" fillId="20" borderId="0" applyNumberFormat="0" applyBorder="0" applyAlignment="0" applyProtection="0"/>
    <xf numFmtId="43" fontId="5" fillId="0" borderId="0" applyFont="0" applyFill="0" applyBorder="0" applyAlignment="0" applyProtection="0"/>
    <xf numFmtId="0" fontId="5" fillId="24" borderId="0" applyNumberFormat="0" applyBorder="0" applyAlignment="0" applyProtection="0"/>
    <xf numFmtId="9" fontId="5" fillId="0" borderId="0" applyFont="0" applyFill="0" applyBorder="0" applyAlignment="0" applyProtection="0"/>
    <xf numFmtId="0" fontId="5" fillId="0" borderId="0"/>
    <xf numFmtId="0" fontId="5" fillId="39" borderId="0" applyNumberFormat="0" applyBorder="0" applyAlignment="0" applyProtection="0"/>
    <xf numFmtId="0" fontId="5" fillId="0" borderId="0"/>
    <xf numFmtId="0" fontId="5" fillId="0" borderId="0"/>
    <xf numFmtId="0" fontId="90" fillId="21"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90" fillId="34"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105" fillId="0" borderId="172" applyNumberFormat="0" applyFill="0" applyAlignment="0" applyProtection="0"/>
    <xf numFmtId="43" fontId="5" fillId="0" borderId="0" applyFont="0" applyFill="0" applyBorder="0" applyAlignment="0" applyProtection="0"/>
    <xf numFmtId="0" fontId="90" fillId="41" borderId="0" applyNumberFormat="0" applyBorder="0" applyAlignment="0" applyProtection="0"/>
    <xf numFmtId="0" fontId="90" fillId="38" borderId="0" applyNumberFormat="0" applyBorder="0" applyAlignment="0" applyProtection="0"/>
    <xf numFmtId="0" fontId="90" fillId="33"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0" borderId="0"/>
    <xf numFmtId="0" fontId="5" fillId="19" borderId="0" applyNumberFormat="0" applyBorder="0" applyAlignment="0" applyProtection="0"/>
    <xf numFmtId="0" fontId="5" fillId="17" borderId="165" applyNumberFormat="0" applyFont="0" applyAlignment="0" applyProtection="0"/>
    <xf numFmtId="0" fontId="88" fillId="0" borderId="0" applyNumberForma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40" borderId="0" applyNumberFormat="0" applyBorder="0" applyAlignment="0" applyProtection="0"/>
    <xf numFmtId="0" fontId="90" fillId="37" borderId="0" applyNumberFormat="0" applyBorder="0" applyAlignment="0" applyProtection="0"/>
    <xf numFmtId="0" fontId="5" fillId="36" borderId="0" applyNumberFormat="0" applyBorder="0" applyAlignment="0" applyProtection="0"/>
    <xf numFmtId="0" fontId="5" fillId="35"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0" borderId="0"/>
    <xf numFmtId="0" fontId="90" fillId="22" borderId="0" applyNumberFormat="0" applyBorder="0" applyAlignment="0" applyProtection="0"/>
    <xf numFmtId="0" fontId="5" fillId="0" borderId="0"/>
    <xf numFmtId="0" fontId="5" fillId="0" borderId="0"/>
    <xf numFmtId="0" fontId="84" fillId="15" borderId="162" applyNumberFormat="0" applyAlignment="0" applyProtection="0"/>
    <xf numFmtId="0" fontId="85" fillId="15" borderId="161" applyNumberFormat="0" applyAlignment="0" applyProtection="0"/>
    <xf numFmtId="0" fontId="81" fillId="12" borderId="0" applyNumberFormat="0" applyBorder="0" applyAlignment="0" applyProtection="0"/>
    <xf numFmtId="0" fontId="79" fillId="0" borderId="160" applyNumberFormat="0" applyFill="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90" fillId="26" borderId="0" applyNumberFormat="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90" fillId="25" borderId="0" applyNumberFormat="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0" borderId="0"/>
    <xf numFmtId="0" fontId="5" fillId="17" borderId="165" applyNumberFormat="0" applyFont="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0" fontId="5" fillId="0" borderId="0"/>
    <xf numFmtId="0" fontId="5" fillId="17" borderId="165" applyNumberFormat="0" applyFont="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48"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17" borderId="165"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165" fontId="5" fillId="0" borderId="0" applyFont="0" applyFill="0" applyBorder="0" applyAlignment="0" applyProtection="0"/>
    <xf numFmtId="0" fontId="5" fillId="0" borderId="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48" fillId="0" borderId="0"/>
    <xf numFmtId="0" fontId="5" fillId="0" borderId="0"/>
    <xf numFmtId="9" fontId="48"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17" borderId="165" applyNumberFormat="0" applyFont="0" applyAlignment="0" applyProtection="0"/>
    <xf numFmtId="9" fontId="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0" borderId="0"/>
    <xf numFmtId="0" fontId="5" fillId="17" borderId="165" applyNumberFormat="0" applyFont="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0" fontId="5" fillId="0" borderId="0"/>
    <xf numFmtId="0" fontId="5" fillId="17" borderId="165" applyNumberFormat="0" applyFont="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17" borderId="165"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17" borderId="165"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7" borderId="165"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0" borderId="0"/>
    <xf numFmtId="0" fontId="3" fillId="17" borderId="165" applyNumberFormat="0" applyFont="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17" borderId="165" applyNumberFormat="0" applyFont="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209" fillId="0" borderId="0"/>
    <xf numFmtId="0" fontId="209" fillId="0" borderId="0"/>
    <xf numFmtId="9" fontId="209" fillId="0" borderId="0"/>
    <xf numFmtId="164" fontId="209" fillId="0" borderId="0"/>
    <xf numFmtId="0" fontId="117" fillId="0" borderId="0"/>
    <xf numFmtId="43" fontId="230" fillId="0" borderId="0"/>
    <xf numFmtId="43" fontId="230" fillId="0" borderId="0"/>
    <xf numFmtId="0" fontId="230" fillId="0" borderId="0"/>
    <xf numFmtId="43" fontId="117" fillId="0" borderId="0"/>
    <xf numFmtId="0" fontId="230" fillId="0" borderId="0"/>
    <xf numFmtId="9" fontId="117" fillId="0" borderId="0"/>
    <xf numFmtId="0" fontId="117" fillId="0" borderId="0"/>
    <xf numFmtId="172" fontId="209" fillId="0" borderId="0"/>
    <xf numFmtId="166" fontId="209" fillId="0" borderId="0"/>
    <xf numFmtId="43" fontId="209" fillId="0" borderId="0"/>
    <xf numFmtId="0" fontId="117" fillId="0" borderId="0"/>
    <xf numFmtId="0" fontId="117" fillId="0" borderId="0"/>
    <xf numFmtId="0" fontId="209" fillId="0" borderId="0"/>
    <xf numFmtId="9" fontId="117" fillId="0" borderId="0"/>
    <xf numFmtId="0" fontId="117" fillId="0" borderId="0"/>
    <xf numFmtId="0" fontId="117" fillId="0" borderId="0"/>
    <xf numFmtId="43" fontId="117" fillId="0" borderId="0"/>
    <xf numFmtId="0" fontId="117" fillId="0" borderId="0"/>
    <xf numFmtId="0" fontId="117" fillId="110" borderId="0"/>
    <xf numFmtId="0" fontId="117" fillId="110" borderId="0"/>
    <xf numFmtId="0" fontId="117" fillId="111" borderId="0"/>
    <xf numFmtId="0" fontId="117" fillId="111" borderId="0"/>
    <xf numFmtId="0" fontId="117" fillId="112" borderId="0"/>
    <xf numFmtId="0" fontId="117" fillId="112" borderId="0"/>
    <xf numFmtId="0" fontId="117" fillId="113" borderId="0"/>
    <xf numFmtId="0" fontId="117" fillId="113" borderId="0"/>
    <xf numFmtId="0" fontId="117" fillId="114" borderId="0"/>
    <xf numFmtId="0" fontId="117" fillId="114" borderId="0"/>
    <xf numFmtId="0" fontId="117" fillId="97" borderId="0"/>
    <xf numFmtId="0" fontId="117" fillId="97" borderId="0"/>
    <xf numFmtId="0" fontId="117" fillId="115" borderId="0"/>
    <xf numFmtId="0" fontId="117" fillId="115" borderId="0"/>
    <xf numFmtId="0" fontId="117" fillId="116" borderId="0"/>
    <xf numFmtId="0" fontId="117" fillId="116" borderId="0"/>
    <xf numFmtId="0" fontId="117" fillId="117" borderId="0"/>
    <xf numFmtId="0" fontId="117" fillId="117" borderId="0"/>
    <xf numFmtId="0" fontId="117" fillId="113" borderId="0"/>
    <xf numFmtId="0" fontId="117" fillId="113" borderId="0"/>
    <xf numFmtId="0" fontId="117" fillId="115" borderId="0"/>
    <xf numFmtId="0" fontId="117" fillId="115" borderId="0"/>
    <xf numFmtId="0" fontId="117" fillId="118" borderId="0"/>
    <xf numFmtId="0" fontId="117" fillId="118" borderId="0"/>
    <xf numFmtId="0" fontId="234" fillId="119" borderId="0"/>
    <xf numFmtId="0" fontId="234" fillId="119" borderId="0"/>
    <xf numFmtId="0" fontId="234" fillId="116" borderId="0"/>
    <xf numFmtId="0" fontId="234" fillId="116" borderId="0"/>
    <xf numFmtId="0" fontId="234" fillId="117" borderId="0"/>
    <xf numFmtId="0" fontId="234" fillId="117" borderId="0"/>
    <xf numFmtId="0" fontId="234" fillId="120" borderId="0"/>
    <xf numFmtId="0" fontId="234" fillId="120" borderId="0"/>
    <xf numFmtId="0" fontId="234" fillId="121" borderId="0"/>
    <xf numFmtId="0" fontId="234" fillId="121" borderId="0"/>
    <xf numFmtId="0" fontId="234" fillId="122" borderId="0"/>
    <xf numFmtId="0" fontId="234" fillId="122" borderId="0"/>
    <xf numFmtId="0" fontId="235" fillId="112" borderId="0"/>
    <xf numFmtId="0" fontId="235" fillId="112" borderId="0"/>
    <xf numFmtId="0" fontId="236" fillId="123" borderId="248"/>
    <xf numFmtId="0" fontId="236" fillId="123" borderId="248"/>
    <xf numFmtId="0" fontId="232" fillId="124" borderId="249"/>
    <xf numFmtId="0" fontId="232" fillId="124" borderId="249"/>
    <xf numFmtId="0" fontId="237" fillId="0" borderId="250"/>
    <xf numFmtId="0" fontId="237" fillId="0" borderId="250"/>
    <xf numFmtId="0" fontId="238" fillId="0" borderId="0"/>
    <xf numFmtId="0" fontId="238" fillId="0" borderId="0"/>
    <xf numFmtId="0" fontId="234" fillId="125" borderId="0"/>
    <xf numFmtId="0" fontId="234" fillId="125" borderId="0"/>
    <xf numFmtId="0" fontId="234" fillId="126" borderId="0"/>
    <xf numFmtId="0" fontId="234" fillId="126" borderId="0"/>
    <xf numFmtId="0" fontId="234" fillId="127" borderId="0"/>
    <xf numFmtId="0" fontId="234" fillId="127" borderId="0"/>
    <xf numFmtId="0" fontId="234" fillId="120" borderId="0"/>
    <xf numFmtId="0" fontId="234" fillId="120" borderId="0"/>
    <xf numFmtId="0" fontId="234" fillId="121" borderId="0"/>
    <xf numFmtId="0" fontId="234" fillId="121" borderId="0"/>
    <xf numFmtId="0" fontId="234" fillId="128" borderId="0"/>
    <xf numFmtId="0" fontId="234" fillId="128" borderId="0"/>
    <xf numFmtId="0" fontId="239" fillId="97" borderId="248"/>
    <xf numFmtId="0" fontId="239" fillId="97" borderId="248"/>
    <xf numFmtId="0" fontId="240" fillId="111" borderId="0"/>
    <xf numFmtId="0" fontId="240" fillId="111" borderId="0"/>
    <xf numFmtId="43" fontId="117"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0" fontId="241" fillId="129" borderId="0"/>
    <xf numFmtId="0" fontId="241" fillId="129" borderId="0"/>
    <xf numFmtId="0" fontId="209" fillId="0" borderId="0"/>
    <xf numFmtId="0" fontId="117" fillId="0" borderId="0"/>
    <xf numFmtId="0" fontId="209" fillId="0" borderId="0"/>
    <xf numFmtId="0" fontId="117" fillId="130" borderId="165"/>
    <xf numFmtId="0" fontId="209" fillId="130" borderId="251"/>
    <xf numFmtId="0" fontId="209" fillId="130" borderId="251"/>
    <xf numFmtId="9" fontId="117" fillId="0" borderId="0"/>
    <xf numFmtId="9" fontId="209" fillId="0" borderId="0"/>
    <xf numFmtId="9" fontId="209" fillId="0" borderId="0"/>
    <xf numFmtId="9" fontId="209" fillId="0" borderId="0"/>
    <xf numFmtId="9" fontId="209" fillId="0" borderId="0"/>
    <xf numFmtId="0" fontId="242" fillId="123" borderId="252"/>
    <xf numFmtId="0" fontId="242" fillId="123" borderId="252"/>
    <xf numFmtId="0" fontId="226" fillId="0" borderId="0"/>
    <xf numFmtId="0" fontId="226" fillId="0" borderId="0"/>
    <xf numFmtId="0" fontId="243" fillId="0" borderId="0"/>
    <xf numFmtId="0" fontId="243" fillId="0" borderId="0"/>
    <xf numFmtId="0" fontId="245" fillId="0" borderId="253"/>
    <xf numFmtId="0" fontId="245" fillId="0" borderId="253"/>
    <xf numFmtId="0" fontId="246" fillId="0" borderId="254"/>
    <xf numFmtId="0" fontId="246" fillId="0" borderId="254"/>
    <xf numFmtId="0" fontId="238" fillId="0" borderId="255"/>
    <xf numFmtId="0" fontId="238" fillId="0" borderId="255"/>
    <xf numFmtId="0" fontId="244" fillId="0" borderId="0"/>
    <xf numFmtId="0" fontId="233" fillId="0" borderId="256"/>
    <xf numFmtId="0" fontId="233" fillId="0" borderId="256"/>
    <xf numFmtId="0" fontId="117" fillId="0" borderId="0"/>
    <xf numFmtId="9" fontId="117" fillId="0" borderId="0"/>
    <xf numFmtId="0" fontId="117" fillId="110" borderId="0"/>
    <xf numFmtId="0" fontId="117" fillId="111" borderId="0"/>
    <xf numFmtId="0" fontId="117" fillId="112" borderId="0"/>
    <xf numFmtId="0" fontId="117" fillId="113" borderId="0"/>
    <xf numFmtId="0" fontId="117" fillId="114" borderId="0"/>
    <xf numFmtId="0" fontId="117" fillId="97" borderId="0"/>
    <xf numFmtId="0" fontId="117" fillId="115" borderId="0"/>
    <xf numFmtId="0" fontId="117" fillId="116" borderId="0"/>
    <xf numFmtId="0" fontId="117" fillId="117" borderId="0"/>
    <xf numFmtId="0" fontId="117" fillId="113" borderId="0"/>
    <xf numFmtId="0" fontId="117" fillId="115" borderId="0"/>
    <xf numFmtId="0" fontId="117" fillId="118" borderId="0"/>
    <xf numFmtId="0" fontId="234" fillId="119" borderId="0"/>
    <xf numFmtId="0" fontId="234" fillId="116" borderId="0"/>
    <xf numFmtId="0" fontId="234" fillId="117" borderId="0"/>
    <xf numFmtId="0" fontId="234" fillId="120" borderId="0"/>
    <xf numFmtId="0" fontId="234" fillId="121" borderId="0"/>
    <xf numFmtId="0" fontId="234" fillId="122" borderId="0"/>
    <xf numFmtId="0" fontId="234" fillId="125" borderId="0"/>
    <xf numFmtId="0" fontId="234" fillId="126" borderId="0"/>
    <xf numFmtId="0" fontId="234" fillId="127" borderId="0"/>
    <xf numFmtId="0" fontId="234" fillId="120" borderId="0"/>
    <xf numFmtId="0" fontId="234" fillId="121" borderId="0"/>
    <xf numFmtId="0" fontId="234" fillId="128" borderId="0"/>
    <xf numFmtId="0" fontId="209" fillId="0" borderId="0"/>
    <xf numFmtId="0" fontId="240" fillId="111" borderId="0"/>
    <xf numFmtId="0" fontId="236" fillId="123" borderId="248"/>
    <xf numFmtId="0" fontId="232" fillId="124" borderId="249"/>
    <xf numFmtId="175" fontId="209" fillId="0" borderId="0"/>
    <xf numFmtId="178" fontId="209" fillId="0" borderId="0"/>
    <xf numFmtId="0" fontId="243" fillId="0" borderId="0"/>
    <xf numFmtId="0" fontId="235" fillId="112" borderId="0"/>
    <xf numFmtId="0" fontId="245" fillId="0" borderId="253"/>
    <xf numFmtId="0" fontId="246" fillId="0" borderId="254"/>
    <xf numFmtId="0" fontId="238" fillId="0" borderId="255"/>
    <xf numFmtId="0" fontId="238" fillId="0" borderId="0"/>
    <xf numFmtId="0" fontId="247" fillId="0" borderId="0">
      <alignment vertical="top"/>
    </xf>
    <xf numFmtId="0" fontId="239" fillId="97" borderId="248"/>
    <xf numFmtId="0" fontId="237" fillId="0" borderId="250"/>
    <xf numFmtId="43" fontId="117" fillId="0" borderId="0"/>
    <xf numFmtId="164" fontId="248" fillId="0" borderId="0"/>
    <xf numFmtId="164" fontId="209" fillId="0" borderId="0"/>
    <xf numFmtId="164" fontId="209" fillId="0" borderId="0"/>
    <xf numFmtId="164" fontId="209" fillId="0" borderId="0"/>
    <xf numFmtId="176" fontId="209" fillId="0" borderId="0"/>
    <xf numFmtId="177" fontId="209" fillId="0" borderId="0"/>
    <xf numFmtId="0" fontId="209" fillId="0" borderId="0"/>
    <xf numFmtId="179" fontId="209" fillId="0" borderId="0"/>
    <xf numFmtId="177" fontId="209" fillId="0" borderId="0"/>
    <xf numFmtId="164" fontId="209" fillId="0" borderId="0"/>
    <xf numFmtId="164" fontId="209" fillId="0" borderId="0"/>
    <xf numFmtId="164" fontId="209" fillId="0" borderId="0"/>
    <xf numFmtId="164" fontId="209" fillId="0" borderId="0"/>
    <xf numFmtId="0" fontId="241" fillId="129" borderId="0"/>
    <xf numFmtId="0" fontId="209" fillId="0" borderId="0"/>
    <xf numFmtId="0" fontId="209" fillId="0" borderId="0"/>
    <xf numFmtId="0" fontId="117" fillId="0" borderId="0"/>
    <xf numFmtId="0" fontId="209" fillId="0" borderId="0"/>
    <xf numFmtId="0" fontId="117" fillId="0" borderId="0"/>
    <xf numFmtId="0" fontId="117" fillId="0" borderId="0"/>
    <xf numFmtId="0" fontId="117" fillId="130" borderId="251"/>
    <xf numFmtId="0" fontId="209" fillId="130" borderId="251"/>
    <xf numFmtId="0" fontId="209" fillId="130" borderId="251"/>
    <xf numFmtId="0" fontId="242" fillId="123" borderId="252"/>
    <xf numFmtId="9" fontId="117" fillId="0" borderId="0"/>
    <xf numFmtId="9" fontId="117" fillId="0" borderId="0"/>
    <xf numFmtId="0" fontId="244" fillId="0" borderId="0"/>
    <xf numFmtId="0" fontId="226" fillId="0" borderId="0"/>
    <xf numFmtId="9" fontId="117" fillId="0" borderId="0"/>
    <xf numFmtId="0" fontId="117" fillId="0" borderId="0"/>
    <xf numFmtId="0" fontId="117" fillId="0" borderId="0"/>
    <xf numFmtId="0" fontId="117" fillId="0" borderId="0"/>
    <xf numFmtId="165" fontId="117" fillId="0" borderId="0"/>
    <xf numFmtId="9" fontId="117" fillId="0" borderId="0"/>
    <xf numFmtId="43" fontId="117" fillId="0" borderId="0"/>
    <xf numFmtId="0" fontId="117" fillId="0" borderId="0"/>
    <xf numFmtId="0" fontId="117" fillId="0" borderId="0"/>
    <xf numFmtId="9" fontId="117" fillId="0" borderId="0"/>
    <xf numFmtId="0" fontId="117" fillId="0" borderId="0"/>
    <xf numFmtId="0" fontId="230" fillId="0" borderId="0"/>
    <xf numFmtId="9" fontId="230" fillId="0" borderId="0"/>
    <xf numFmtId="165" fontId="117" fillId="0" borderId="0"/>
    <xf numFmtId="43" fontId="117" fillId="0" borderId="0"/>
    <xf numFmtId="0" fontId="209" fillId="0" borderId="0"/>
    <xf numFmtId="0" fontId="117" fillId="0" borderId="0"/>
    <xf numFmtId="165" fontId="117" fillId="0" borderId="0"/>
    <xf numFmtId="165" fontId="117" fillId="0" borderId="0"/>
    <xf numFmtId="43" fontId="117" fillId="0" borderId="0"/>
    <xf numFmtId="0" fontId="117" fillId="0" borderId="0"/>
    <xf numFmtId="165" fontId="117" fillId="0" borderId="0"/>
    <xf numFmtId="165" fontId="117" fillId="0" borderId="0"/>
    <xf numFmtId="43" fontId="117" fillId="0" borderId="0"/>
    <xf numFmtId="0" fontId="117" fillId="0" borderId="0"/>
    <xf numFmtId="9" fontId="117" fillId="0" borderId="0"/>
    <xf numFmtId="0" fontId="117" fillId="98" borderId="0"/>
    <xf numFmtId="0" fontId="117" fillId="100" borderId="0"/>
    <xf numFmtId="0" fontId="117" fillId="102" borderId="0"/>
    <xf numFmtId="0" fontId="117" fillId="104" borderId="0"/>
    <xf numFmtId="0" fontId="117" fillId="106" borderId="0"/>
    <xf numFmtId="0" fontId="117" fillId="108" borderId="0"/>
    <xf numFmtId="0" fontId="117" fillId="99" borderId="0"/>
    <xf numFmtId="0" fontId="117" fillId="101" borderId="0"/>
    <xf numFmtId="0" fontId="117" fillId="103" borderId="0"/>
    <xf numFmtId="0" fontId="117" fillId="105" borderId="0"/>
    <xf numFmtId="0" fontId="117" fillId="107" borderId="0"/>
    <xf numFmtId="0" fontId="117" fillId="109" borderId="0"/>
    <xf numFmtId="0" fontId="117" fillId="0" borderId="0"/>
    <xf numFmtId="0" fontId="117" fillId="130" borderId="165"/>
    <xf numFmtId="0" fontId="117" fillId="0" borderId="0"/>
    <xf numFmtId="0" fontId="117" fillId="0" borderId="0"/>
    <xf numFmtId="9" fontId="117" fillId="0" borderId="0"/>
    <xf numFmtId="0" fontId="117" fillId="0" borderId="0"/>
    <xf numFmtId="9" fontId="117" fillId="0" borderId="0"/>
    <xf numFmtId="0" fontId="117" fillId="0" borderId="0"/>
    <xf numFmtId="43" fontId="117" fillId="0" borderId="0"/>
    <xf numFmtId="0" fontId="117" fillId="0" borderId="0"/>
    <xf numFmtId="0" fontId="117" fillId="0" borderId="0"/>
    <xf numFmtId="0" fontId="117" fillId="98" borderId="0"/>
    <xf numFmtId="0" fontId="117" fillId="100" borderId="0"/>
    <xf numFmtId="0" fontId="117" fillId="102" borderId="0"/>
    <xf numFmtId="0" fontId="117" fillId="104" borderId="0"/>
    <xf numFmtId="0" fontId="117" fillId="106" borderId="0"/>
    <xf numFmtId="0" fontId="117" fillId="108" borderId="0"/>
    <xf numFmtId="0" fontId="117" fillId="99" borderId="0"/>
    <xf numFmtId="0" fontId="117" fillId="101" borderId="0"/>
    <xf numFmtId="0" fontId="117" fillId="103" borderId="0"/>
    <xf numFmtId="0" fontId="117" fillId="105" borderId="0"/>
    <xf numFmtId="0" fontId="117" fillId="107" borderId="0"/>
    <xf numFmtId="0" fontId="117" fillId="109" borderId="0"/>
    <xf numFmtId="43" fontId="117" fillId="0" borderId="0"/>
    <xf numFmtId="0" fontId="117" fillId="0" borderId="0"/>
    <xf numFmtId="0" fontId="117" fillId="130" borderId="165"/>
    <xf numFmtId="9"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0" fontId="117" fillId="130" borderId="165"/>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0" fontId="231" fillId="0" borderId="0"/>
    <xf numFmtId="165" fontId="117" fillId="0" borderId="0"/>
    <xf numFmtId="165" fontId="117" fillId="0" borderId="0"/>
    <xf numFmtId="165" fontId="117" fillId="0" borderId="0"/>
    <xf numFmtId="0" fontId="117" fillId="0" borderId="0"/>
    <xf numFmtId="0" fontId="117" fillId="130" borderId="165"/>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165" fontId="117" fillId="0" borderId="0"/>
    <xf numFmtId="165" fontId="117" fillId="0" borderId="0"/>
    <xf numFmtId="165" fontId="117" fillId="0" borderId="0"/>
    <xf numFmtId="165" fontId="117" fillId="0" borderId="0"/>
    <xf numFmtId="165" fontId="117" fillId="0" borderId="0"/>
    <xf numFmtId="165" fontId="117" fillId="0" borderId="0"/>
    <xf numFmtId="0" fontId="117" fillId="0" borderId="0"/>
    <xf numFmtId="9" fontId="117" fillId="0" borderId="0"/>
    <xf numFmtId="0" fontId="117" fillId="0" borderId="0"/>
    <xf numFmtId="0" fontId="117" fillId="0" borderId="0"/>
    <xf numFmtId="0" fontId="117" fillId="0" borderId="0"/>
    <xf numFmtId="9" fontId="117" fillId="0" borderId="0"/>
    <xf numFmtId="0" fontId="117" fillId="0" borderId="0"/>
    <xf numFmtId="0" fontId="117" fillId="0" borderId="0"/>
    <xf numFmtId="43" fontId="117" fillId="0" borderId="0"/>
    <xf numFmtId="9" fontId="117" fillId="0" borderId="0"/>
    <xf numFmtId="0" fontId="117" fillId="0" borderId="0"/>
    <xf numFmtId="0" fontId="117" fillId="0" borderId="0"/>
    <xf numFmtId="0" fontId="117" fillId="0" borderId="0"/>
    <xf numFmtId="0" fontId="117" fillId="0" borderId="0"/>
    <xf numFmtId="0" fontId="117" fillId="0" borderId="0"/>
    <xf numFmtId="43" fontId="117" fillId="0" borderId="0"/>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0" fontId="117" fillId="0" borderId="0"/>
    <xf numFmtId="43" fontId="117" fillId="0" borderId="0"/>
    <xf numFmtId="0" fontId="117" fillId="0" borderId="0"/>
    <xf numFmtId="0" fontId="117" fillId="130" borderId="165"/>
    <xf numFmtId="9" fontId="117" fillId="0" borderId="0"/>
    <xf numFmtId="0" fontId="117" fillId="0" borderId="0"/>
    <xf numFmtId="9" fontId="117" fillId="0" borderId="0"/>
    <xf numFmtId="0"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165" fontId="117" fillId="0" borderId="0"/>
    <xf numFmtId="9" fontId="117" fillId="0" borderId="0"/>
    <xf numFmtId="43" fontId="117" fillId="0" borderId="0"/>
    <xf numFmtId="0" fontId="117" fillId="0" borderId="0"/>
    <xf numFmtId="0" fontId="117" fillId="0" borderId="0"/>
    <xf numFmtId="9" fontId="117" fillId="0" borderId="0"/>
    <xf numFmtId="0" fontId="117" fillId="0" borderId="0"/>
    <xf numFmtId="165" fontId="117" fillId="0" borderId="0"/>
    <xf numFmtId="43" fontId="117" fillId="0" borderId="0"/>
    <xf numFmtId="0" fontId="117" fillId="0" borderId="0"/>
    <xf numFmtId="165" fontId="117" fillId="0" borderId="0"/>
    <xf numFmtId="165" fontId="117" fillId="0" borderId="0"/>
    <xf numFmtId="43" fontId="117" fillId="0" borderId="0"/>
    <xf numFmtId="0" fontId="117" fillId="0" borderId="0"/>
    <xf numFmtId="165" fontId="117" fillId="0" borderId="0"/>
    <xf numFmtId="165" fontId="117" fillId="0" borderId="0"/>
    <xf numFmtId="43" fontId="117" fillId="0" borderId="0"/>
    <xf numFmtId="0" fontId="117" fillId="0" borderId="0"/>
    <xf numFmtId="0" fontId="209" fillId="0" borderId="0"/>
    <xf numFmtId="0" fontId="205" fillId="131" borderId="257">
      <alignment horizontal="center" vertical="center"/>
    </xf>
    <xf numFmtId="0" fontId="117" fillId="0" borderId="0"/>
    <xf numFmtId="0" fontId="117" fillId="0" borderId="0"/>
    <xf numFmtId="0" fontId="117" fillId="0" borderId="0"/>
    <xf numFmtId="0" fontId="117" fillId="0" borderId="0"/>
    <xf numFmtId="9" fontId="117" fillId="0" borderId="0"/>
    <xf numFmtId="164" fontId="230" fillId="0" borderId="0"/>
    <xf numFmtId="164" fontId="209" fillId="0" borderId="0"/>
    <xf numFmtId="0" fontId="117" fillId="0" borderId="0"/>
    <xf numFmtId="164" fontId="230" fillId="0" borderId="0"/>
    <xf numFmtId="164" fontId="230" fillId="0" borderId="0"/>
    <xf numFmtId="164" fontId="117" fillId="0" borderId="0"/>
    <xf numFmtId="9" fontId="117" fillId="0" borderId="0"/>
    <xf numFmtId="0" fontId="117" fillId="0" borderId="0"/>
    <xf numFmtId="0" fontId="117" fillId="0" borderId="0"/>
    <xf numFmtId="0" fontId="117" fillId="0" borderId="0"/>
    <xf numFmtId="0" fontId="117" fillId="0" borderId="0"/>
    <xf numFmtId="0" fontId="117" fillId="0" borderId="0"/>
    <xf numFmtId="164" fontId="117" fillId="0" borderId="0"/>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0" fontId="117" fillId="0" borderId="0"/>
    <xf numFmtId="164" fontId="117"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0" fontId="117" fillId="0" borderId="0"/>
    <xf numFmtId="0" fontId="117" fillId="130" borderId="165"/>
    <xf numFmtId="9" fontId="117" fillId="0" borderId="0"/>
    <xf numFmtId="0" fontId="117" fillId="0" borderId="0"/>
    <xf numFmtId="9" fontId="117" fillId="0" borderId="0"/>
    <xf numFmtId="164" fontId="117" fillId="0" borderId="0"/>
    <xf numFmtId="164" fontId="248"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0"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165" fontId="117" fillId="0" borderId="0"/>
    <xf numFmtId="9" fontId="117" fillId="0" borderId="0"/>
    <xf numFmtId="164" fontId="117" fillId="0" borderId="0"/>
    <xf numFmtId="0" fontId="117" fillId="0" borderId="0"/>
    <xf numFmtId="0" fontId="117" fillId="0" borderId="0"/>
    <xf numFmtId="9" fontId="117" fillId="0" borderId="0"/>
    <xf numFmtId="0" fontId="117" fillId="0" borderId="0"/>
    <xf numFmtId="165" fontId="117" fillId="0" borderId="0"/>
    <xf numFmtId="164" fontId="117" fillId="0" borderId="0"/>
    <xf numFmtId="0" fontId="117" fillId="0" borderId="0"/>
    <xf numFmtId="165" fontId="117" fillId="0" borderId="0"/>
    <xf numFmtId="165" fontId="117" fillId="0" borderId="0"/>
    <xf numFmtId="164" fontId="117" fillId="0" borderId="0"/>
    <xf numFmtId="0" fontId="117" fillId="0" borderId="0"/>
    <xf numFmtId="165" fontId="117" fillId="0" borderId="0"/>
    <xf numFmtId="165" fontId="117" fillId="0" borderId="0"/>
    <xf numFmtId="164" fontId="117" fillId="0" borderId="0"/>
    <xf numFmtId="0" fontId="117" fillId="0" borderId="0"/>
    <xf numFmtId="9" fontId="117" fillId="0" borderId="0"/>
    <xf numFmtId="0" fontId="117" fillId="98" borderId="0"/>
    <xf numFmtId="0" fontId="117" fillId="100" borderId="0"/>
    <xf numFmtId="0" fontId="117" fillId="102" borderId="0"/>
    <xf numFmtId="0" fontId="117" fillId="104" borderId="0"/>
    <xf numFmtId="0" fontId="117" fillId="106" borderId="0"/>
    <xf numFmtId="0" fontId="117" fillId="108" borderId="0"/>
    <xf numFmtId="0" fontId="117" fillId="99" borderId="0"/>
    <xf numFmtId="0" fontId="117" fillId="101" borderId="0"/>
    <xf numFmtId="0" fontId="117" fillId="103" borderId="0"/>
    <xf numFmtId="0" fontId="117" fillId="105" borderId="0"/>
    <xf numFmtId="0" fontId="117" fillId="107" borderId="0"/>
    <xf numFmtId="0" fontId="117" fillId="109" borderId="0"/>
    <xf numFmtId="0" fontId="117" fillId="0" borderId="0"/>
    <xf numFmtId="0" fontId="117" fillId="130" borderId="165"/>
    <xf numFmtId="0" fontId="117" fillId="0" borderId="0"/>
    <xf numFmtId="0" fontId="117" fillId="0" borderId="0"/>
    <xf numFmtId="9" fontId="117" fillId="0" borderId="0"/>
    <xf numFmtId="0" fontId="117" fillId="0" borderId="0"/>
    <xf numFmtId="9" fontId="117" fillId="0" borderId="0"/>
    <xf numFmtId="0" fontId="117" fillId="0" borderId="0"/>
    <xf numFmtId="164" fontId="117" fillId="0" borderId="0"/>
    <xf numFmtId="0" fontId="117" fillId="0" borderId="0"/>
    <xf numFmtId="0" fontId="117" fillId="0" borderId="0"/>
    <xf numFmtId="0" fontId="117" fillId="98" borderId="0"/>
    <xf numFmtId="0" fontId="117" fillId="100" borderId="0"/>
    <xf numFmtId="0" fontId="117" fillId="102" borderId="0"/>
    <xf numFmtId="0" fontId="117" fillId="104" borderId="0"/>
    <xf numFmtId="0" fontId="117" fillId="106" borderId="0"/>
    <xf numFmtId="0" fontId="117" fillId="108" borderId="0"/>
    <xf numFmtId="0" fontId="117" fillId="99" borderId="0"/>
    <xf numFmtId="0" fontId="117" fillId="101" borderId="0"/>
    <xf numFmtId="0" fontId="117" fillId="103" borderId="0"/>
    <xf numFmtId="0" fontId="117" fillId="105" borderId="0"/>
    <xf numFmtId="0" fontId="117" fillId="107" borderId="0"/>
    <xf numFmtId="0" fontId="117" fillId="109" borderId="0"/>
    <xf numFmtId="164" fontId="117" fillId="0" borderId="0"/>
    <xf numFmtId="0" fontId="117" fillId="0" borderId="0"/>
    <xf numFmtId="0" fontId="117" fillId="130" borderId="165"/>
    <xf numFmtId="9"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0" fontId="117" fillId="130" borderId="165"/>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165" fontId="117" fillId="0" borderId="0"/>
    <xf numFmtId="165" fontId="117" fillId="0" borderId="0"/>
    <xf numFmtId="165" fontId="117" fillId="0" borderId="0"/>
    <xf numFmtId="0" fontId="117" fillId="0" borderId="0"/>
    <xf numFmtId="0" fontId="117" fillId="130" borderId="165"/>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165" fontId="117" fillId="0" borderId="0"/>
    <xf numFmtId="165" fontId="117" fillId="0" borderId="0"/>
    <xf numFmtId="165" fontId="117" fillId="0" borderId="0"/>
    <xf numFmtId="165" fontId="117" fillId="0" borderId="0"/>
    <xf numFmtId="165" fontId="117" fillId="0" borderId="0"/>
    <xf numFmtId="165" fontId="117" fillId="0" borderId="0"/>
    <xf numFmtId="0" fontId="117" fillId="0" borderId="0"/>
    <xf numFmtId="9" fontId="117" fillId="0" borderId="0"/>
    <xf numFmtId="0" fontId="117" fillId="0" borderId="0"/>
    <xf numFmtId="0" fontId="117" fillId="0" borderId="0"/>
    <xf numFmtId="0" fontId="117" fillId="0" borderId="0"/>
    <xf numFmtId="9" fontId="117" fillId="0" borderId="0"/>
    <xf numFmtId="0" fontId="117" fillId="0" borderId="0"/>
    <xf numFmtId="0" fontId="117" fillId="0" borderId="0"/>
    <xf numFmtId="164" fontId="117" fillId="0" borderId="0"/>
    <xf numFmtId="9" fontId="117" fillId="0" borderId="0"/>
    <xf numFmtId="0" fontId="117" fillId="0" borderId="0"/>
    <xf numFmtId="0" fontId="117" fillId="0" borderId="0"/>
    <xf numFmtId="0" fontId="117" fillId="0" borderId="0"/>
    <xf numFmtId="0" fontId="117" fillId="0" borderId="0"/>
    <xf numFmtId="0" fontId="117" fillId="0" borderId="0"/>
    <xf numFmtId="164" fontId="117" fillId="0" borderId="0"/>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0" fontId="117" fillId="0" borderId="0"/>
    <xf numFmtId="164" fontId="117" fillId="0" borderId="0"/>
    <xf numFmtId="0" fontId="117" fillId="0" borderId="0"/>
    <xf numFmtId="0" fontId="117" fillId="130" borderId="165"/>
    <xf numFmtId="9" fontId="117" fillId="0" borderId="0"/>
    <xf numFmtId="0" fontId="117" fillId="0" borderId="0"/>
    <xf numFmtId="9" fontId="117" fillId="0" borderId="0"/>
    <xf numFmtId="0"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165" fontId="117" fillId="0" borderId="0"/>
    <xf numFmtId="9" fontId="117" fillId="0" borderId="0"/>
    <xf numFmtId="164" fontId="117" fillId="0" borderId="0"/>
    <xf numFmtId="0" fontId="117" fillId="0" borderId="0"/>
    <xf numFmtId="0" fontId="117" fillId="0" borderId="0"/>
    <xf numFmtId="9" fontId="117" fillId="0" borderId="0"/>
    <xf numFmtId="0" fontId="117" fillId="0" borderId="0"/>
    <xf numFmtId="165" fontId="117" fillId="0" borderId="0"/>
    <xf numFmtId="164" fontId="117" fillId="0" borderId="0"/>
    <xf numFmtId="0" fontId="117" fillId="0" borderId="0"/>
    <xf numFmtId="165" fontId="117" fillId="0" borderId="0"/>
    <xf numFmtId="165" fontId="117" fillId="0" borderId="0"/>
    <xf numFmtId="164" fontId="117" fillId="0" borderId="0"/>
    <xf numFmtId="0" fontId="117" fillId="0" borderId="0"/>
    <xf numFmtId="165" fontId="117" fillId="0" borderId="0"/>
    <xf numFmtId="165" fontId="117" fillId="0" borderId="0"/>
    <xf numFmtId="164" fontId="117" fillId="0" borderId="0"/>
    <xf numFmtId="0" fontId="117" fillId="0" borderId="0"/>
    <xf numFmtId="0" fontId="117" fillId="0" borderId="0"/>
    <xf numFmtId="0" fontId="117" fillId="0" borderId="0"/>
    <xf numFmtId="0" fontId="117" fillId="0" borderId="0"/>
    <xf numFmtId="0" fontId="117" fillId="0" borderId="0"/>
    <xf numFmtId="9" fontId="117" fillId="0" borderId="0"/>
    <xf numFmtId="164" fontId="209" fillId="0" borderId="0"/>
    <xf numFmtId="0" fontId="117" fillId="0" borderId="0"/>
    <xf numFmtId="164" fontId="117" fillId="0" borderId="0"/>
    <xf numFmtId="9" fontId="117" fillId="0" borderId="0"/>
    <xf numFmtId="0" fontId="117" fillId="0" borderId="0"/>
    <xf numFmtId="0" fontId="117" fillId="0" borderId="0"/>
    <xf numFmtId="0" fontId="117" fillId="0" borderId="0"/>
    <xf numFmtId="0" fontId="117" fillId="0" borderId="0"/>
    <xf numFmtId="0" fontId="117" fillId="0" borderId="0"/>
    <xf numFmtId="164" fontId="117" fillId="0" borderId="0"/>
    <xf numFmtId="0" fontId="117" fillId="98" borderId="0"/>
    <xf numFmtId="0" fontId="117" fillId="99" borderId="0"/>
    <xf numFmtId="0" fontId="117" fillId="100" borderId="0"/>
    <xf numFmtId="0" fontId="117" fillId="101" borderId="0"/>
    <xf numFmtId="0" fontId="117" fillId="102" borderId="0"/>
    <xf numFmtId="0" fontId="117" fillId="103" borderId="0"/>
    <xf numFmtId="0" fontId="117" fillId="104" borderId="0"/>
    <xf numFmtId="0" fontId="117" fillId="105" borderId="0"/>
    <xf numFmtId="0" fontId="117" fillId="106" borderId="0"/>
    <xf numFmtId="0" fontId="117" fillId="107" borderId="0"/>
    <xf numFmtId="0" fontId="117" fillId="108" borderId="0"/>
    <xf numFmtId="0" fontId="117" fillId="109" borderId="0"/>
    <xf numFmtId="0" fontId="117" fillId="0" borderId="0"/>
    <xf numFmtId="164" fontId="117"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0" fontId="117" fillId="0" borderId="0"/>
    <xf numFmtId="0" fontId="117" fillId="130" borderId="165"/>
    <xf numFmtId="9" fontId="117" fillId="0" borderId="0"/>
    <xf numFmtId="0" fontId="117" fillId="0" borderId="0"/>
    <xf numFmtId="9" fontId="117" fillId="0" borderId="0"/>
    <xf numFmtId="164" fontId="248"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164" fontId="209" fillId="0" borderId="0"/>
    <xf numFmtId="0" fontId="117" fillId="0" borderId="0"/>
    <xf numFmtId="0" fontId="117" fillId="0" borderId="0"/>
    <xf numFmtId="0" fontId="117" fillId="0" borderId="0"/>
    <xf numFmtId="9" fontId="117" fillId="0" borderId="0"/>
    <xf numFmtId="0" fontId="117" fillId="0" borderId="0"/>
    <xf numFmtId="0" fontId="117" fillId="0" borderId="0"/>
    <xf numFmtId="0" fontId="117" fillId="0" borderId="0"/>
    <xf numFmtId="165" fontId="117" fillId="0" borderId="0"/>
    <xf numFmtId="9" fontId="117" fillId="0" borderId="0"/>
    <xf numFmtId="164" fontId="117" fillId="0" borderId="0"/>
    <xf numFmtId="0" fontId="117" fillId="0" borderId="0"/>
    <xf numFmtId="0" fontId="117" fillId="0" borderId="0"/>
    <xf numFmtId="9" fontId="117" fillId="0" borderId="0"/>
    <xf numFmtId="0" fontId="117" fillId="0" borderId="0"/>
    <xf numFmtId="165" fontId="117" fillId="0" borderId="0"/>
    <xf numFmtId="164" fontId="117" fillId="0" borderId="0"/>
    <xf numFmtId="0" fontId="117" fillId="0" borderId="0"/>
    <xf numFmtId="165" fontId="117" fillId="0" borderId="0"/>
    <xf numFmtId="165" fontId="117" fillId="0" borderId="0"/>
    <xf numFmtId="164" fontId="117" fillId="0" borderId="0"/>
    <xf numFmtId="0" fontId="117" fillId="0" borderId="0"/>
    <xf numFmtId="165" fontId="117" fillId="0" borderId="0"/>
    <xf numFmtId="165" fontId="117" fillId="0" borderId="0"/>
    <xf numFmtId="164" fontId="117" fillId="0" borderId="0"/>
    <xf numFmtId="0" fontId="117"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7" borderId="165" applyNumberFormat="0" applyFont="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17" borderId="165"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17" borderId="165" applyNumberFormat="0" applyFont="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17" borderId="165"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17" borderId="165" applyNumberFormat="0" applyFont="0" applyAlignment="0" applyProtection="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17" borderId="165"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17" borderId="165" applyNumberFormat="0" applyFont="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17" borderId="165"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1" fillId="40"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0" borderId="0"/>
    <xf numFmtId="0" fontId="1" fillId="20"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7" borderId="165" applyNumberFormat="0" applyFont="0" applyAlignment="0" applyProtection="0"/>
    <xf numFmtId="0" fontId="1" fillId="23" borderId="0" applyNumberFormat="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2" borderId="0" applyNumberFormat="0" applyBorder="0" applyAlignment="0" applyProtection="0"/>
    <xf numFmtId="0" fontId="1" fillId="0" borderId="0"/>
    <xf numFmtId="0" fontId="1" fillId="0" borderId="0"/>
    <xf numFmtId="0" fontId="1" fillId="24"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6"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0" borderId="0"/>
    <xf numFmtId="0" fontId="1" fillId="17" borderId="165"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17" borderId="165" applyNumberFormat="0" applyFont="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191"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7" borderId="165" applyNumberFormat="0" applyFont="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7" borderId="165" applyNumberFormat="0" applyFont="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0" borderId="0"/>
    <xf numFmtId="0" fontId="1" fillId="17" borderId="165"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17" borderId="165"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17" borderId="165" applyNumberFormat="0" applyFont="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cellStyleXfs>
  <cellXfs count="4064">
    <xf numFmtId="0" fontId="0" fillId="0" borderId="0" xfId="0"/>
    <xf numFmtId="0" fontId="50" fillId="0" borderId="0" xfId="0" applyFont="1"/>
    <xf numFmtId="167" fontId="50" fillId="0" borderId="0" xfId="1" applyNumberFormat="1" applyFont="1" applyBorder="1"/>
    <xf numFmtId="0" fontId="49" fillId="0" borderId="0" xfId="0" applyFont="1" applyAlignment="1">
      <alignment vertical="center"/>
    </xf>
    <xf numFmtId="0" fontId="50" fillId="0" borderId="0" xfId="0" applyFont="1" applyBorder="1"/>
    <xf numFmtId="43" fontId="50" fillId="0" borderId="0" xfId="1" applyNumberFormat="1" applyFont="1" applyBorder="1"/>
    <xf numFmtId="0" fontId="52" fillId="0" borderId="0" xfId="2" applyFont="1"/>
    <xf numFmtId="0" fontId="52" fillId="0" borderId="0" xfId="2" applyFont="1" applyAlignment="1">
      <alignment vertical="center"/>
    </xf>
    <xf numFmtId="0" fontId="52" fillId="0" borderId="0" xfId="2" applyFont="1" applyBorder="1"/>
    <xf numFmtId="0" fontId="52" fillId="0" borderId="0" xfId="2" applyFont="1" applyBorder="1" applyAlignment="1">
      <alignment vertical="center"/>
    </xf>
    <xf numFmtId="164" fontId="52" fillId="0" borderId="0" xfId="4" applyFont="1"/>
    <xf numFmtId="169" fontId="52" fillId="0" borderId="0" xfId="2" applyNumberFormat="1" applyFont="1" applyBorder="1"/>
    <xf numFmtId="2" fontId="52" fillId="0" borderId="0" xfId="2" applyNumberFormat="1" applyFont="1"/>
    <xf numFmtId="171" fontId="52" fillId="0" borderId="0" xfId="2" applyNumberFormat="1" applyFont="1"/>
    <xf numFmtId="0" fontId="60" fillId="0" borderId="0" xfId="2" applyFont="1"/>
    <xf numFmtId="4" fontId="52" fillId="0" borderId="0" xfId="2" applyNumberFormat="1" applyFont="1"/>
    <xf numFmtId="2" fontId="61" fillId="0" borderId="0" xfId="2" applyNumberFormat="1" applyFont="1" applyBorder="1" applyAlignment="1">
      <alignment horizontal="center"/>
    </xf>
    <xf numFmtId="2" fontId="62" fillId="0" borderId="0" xfId="2" applyNumberFormat="1" applyFont="1" applyBorder="1" applyAlignment="1">
      <alignment horizontal="center"/>
    </xf>
    <xf numFmtId="0" fontId="55" fillId="0" borderId="0" xfId="2" applyFont="1" applyBorder="1"/>
    <xf numFmtId="2" fontId="52" fillId="0" borderId="0" xfId="2" applyNumberFormat="1" applyFont="1" applyBorder="1"/>
    <xf numFmtId="17" fontId="55" fillId="0" borderId="0" xfId="7" applyNumberFormat="1" applyFont="1" applyFill="1" applyBorder="1" applyAlignment="1">
      <alignment horizontal="center"/>
    </xf>
    <xf numFmtId="0" fontId="52" fillId="0" borderId="0" xfId="7" applyFont="1" applyFill="1" applyBorder="1"/>
    <xf numFmtId="0" fontId="58" fillId="0" borderId="0" xfId="7" applyFont="1" applyBorder="1"/>
    <xf numFmtId="0" fontId="52" fillId="0" borderId="0" xfId="7" applyFont="1" applyFill="1" applyBorder="1" applyAlignment="1">
      <alignment horizontal="center"/>
    </xf>
    <xf numFmtId="0" fontId="52" fillId="0" borderId="0" xfId="2" applyFont="1" applyBorder="1" applyAlignment="1">
      <alignment horizontal="center" vertical="center"/>
    </xf>
    <xf numFmtId="9" fontId="52" fillId="0" borderId="0" xfId="3" applyFont="1" applyBorder="1" applyAlignment="1">
      <alignment horizontal="center" vertical="center"/>
    </xf>
    <xf numFmtId="9" fontId="52" fillId="0" borderId="0" xfId="3" applyFont="1" applyBorder="1" applyAlignment="1">
      <alignment vertical="center"/>
    </xf>
    <xf numFmtId="3" fontId="50" fillId="0" borderId="0" xfId="0" applyNumberFormat="1" applyFont="1" applyBorder="1"/>
    <xf numFmtId="167" fontId="49" fillId="0" borderId="0" xfId="1" applyNumberFormat="1" applyFont="1" applyBorder="1"/>
    <xf numFmtId="10" fontId="50" fillId="0" borderId="0" xfId="6" applyNumberFormat="1" applyFont="1" applyBorder="1"/>
    <xf numFmtId="0" fontId="66" fillId="0" borderId="0" xfId="0" applyFont="1"/>
    <xf numFmtId="0" fontId="63" fillId="0" borderId="0" xfId="0" applyFont="1" applyAlignment="1">
      <alignment vertical="center"/>
    </xf>
    <xf numFmtId="10" fontId="50" fillId="0" borderId="0" xfId="6" applyNumberFormat="1" applyFont="1"/>
    <xf numFmtId="43" fontId="50" fillId="0" borderId="0" xfId="1" applyFont="1" applyBorder="1"/>
    <xf numFmtId="43" fontId="49" fillId="0" borderId="0" xfId="1" applyNumberFormat="1" applyFont="1" applyFill="1" applyBorder="1"/>
    <xf numFmtId="10" fontId="50" fillId="0" borderId="0" xfId="6" applyNumberFormat="1" applyFont="1" applyFill="1" applyBorder="1"/>
    <xf numFmtId="14" fontId="52" fillId="0" borderId="0" xfId="2" applyNumberFormat="1" applyFont="1" applyAlignment="1">
      <alignment vertical="center"/>
    </xf>
    <xf numFmtId="14" fontId="49" fillId="0" borderId="0" xfId="0" applyNumberFormat="1" applyFont="1" applyAlignment="1">
      <alignment vertical="center"/>
    </xf>
    <xf numFmtId="14" fontId="52" fillId="0" borderId="0" xfId="2" applyNumberFormat="1" applyFont="1"/>
    <xf numFmtId="0" fontId="52" fillId="0" borderId="29" xfId="2" applyFont="1" applyBorder="1"/>
    <xf numFmtId="0" fontId="50" fillId="0" borderId="29" xfId="0" applyFont="1" applyBorder="1"/>
    <xf numFmtId="0" fontId="66" fillId="0" borderId="0" xfId="0" applyFont="1" applyBorder="1"/>
    <xf numFmtId="0" fontId="50" fillId="0" borderId="8" xfId="0" applyFont="1" applyBorder="1"/>
    <xf numFmtId="167" fontId="50" fillId="0" borderId="6" xfId="1" applyNumberFormat="1" applyFont="1" applyBorder="1"/>
    <xf numFmtId="3" fontId="52" fillId="0" borderId="6" xfId="2" applyNumberFormat="1" applyFont="1" applyBorder="1"/>
    <xf numFmtId="10" fontId="50" fillId="0" borderId="6" xfId="6" applyNumberFormat="1" applyFont="1" applyBorder="1"/>
    <xf numFmtId="167" fontId="50" fillId="0" borderId="5" xfId="1" applyNumberFormat="1" applyFont="1" applyBorder="1"/>
    <xf numFmtId="0" fontId="52" fillId="0" borderId="30" xfId="2" applyFont="1" applyBorder="1"/>
    <xf numFmtId="0" fontId="52" fillId="0" borderId="33" xfId="2" applyFont="1" applyBorder="1"/>
    <xf numFmtId="0" fontId="49" fillId="2" borderId="31" xfId="0" applyFont="1" applyFill="1" applyBorder="1" applyAlignment="1">
      <alignment vertical="center"/>
    </xf>
    <xf numFmtId="0" fontId="49" fillId="0" borderId="37" xfId="0" applyFont="1" applyBorder="1" applyAlignment="1">
      <alignment vertical="center"/>
    </xf>
    <xf numFmtId="0" fontId="50" fillId="0" borderId="30" xfId="0" applyFont="1" applyBorder="1"/>
    <xf numFmtId="0" fontId="50" fillId="0" borderId="33" xfId="0" applyFont="1" applyBorder="1"/>
    <xf numFmtId="0" fontId="50" fillId="0" borderId="28" xfId="0" applyFont="1" applyBorder="1"/>
    <xf numFmtId="0" fontId="50" fillId="0" borderId="34" xfId="0" applyFont="1" applyBorder="1"/>
    <xf numFmtId="167" fontId="50" fillId="0" borderId="7" xfId="1" applyNumberFormat="1" applyFont="1" applyBorder="1"/>
    <xf numFmtId="167" fontId="50" fillId="0" borderId="28" xfId="1" applyNumberFormat="1" applyFont="1" applyBorder="1"/>
    <xf numFmtId="0" fontId="52" fillId="0" borderId="28" xfId="2" applyFont="1" applyBorder="1"/>
    <xf numFmtId="0" fontId="52" fillId="0" borderId="34" xfId="2" applyFont="1" applyBorder="1"/>
    <xf numFmtId="10" fontId="50" fillId="0" borderId="7" xfId="6" applyNumberFormat="1" applyFont="1" applyBorder="1"/>
    <xf numFmtId="10" fontId="50" fillId="0" borderId="28" xfId="6" applyNumberFormat="1" applyFont="1" applyBorder="1"/>
    <xf numFmtId="0" fontId="49" fillId="2" borderId="0" xfId="0" applyFont="1" applyFill="1" applyBorder="1" applyAlignment="1">
      <alignment vertical="center"/>
    </xf>
    <xf numFmtId="0" fontId="49" fillId="0" borderId="0" xfId="0" applyFont="1" applyBorder="1" applyAlignment="1">
      <alignment vertical="center"/>
    </xf>
    <xf numFmtId="0" fontId="49" fillId="2" borderId="32" xfId="0" applyFont="1" applyFill="1" applyBorder="1" applyAlignment="1">
      <alignment vertical="center"/>
    </xf>
    <xf numFmtId="0" fontId="50" fillId="0" borderId="32" xfId="0" applyFont="1" applyBorder="1"/>
    <xf numFmtId="167" fontId="50" fillId="0" borderId="35" xfId="1" applyNumberFormat="1" applyFont="1" applyBorder="1"/>
    <xf numFmtId="10" fontId="50" fillId="0" borderId="27" xfId="6" applyNumberFormat="1" applyFont="1" applyBorder="1"/>
    <xf numFmtId="0" fontId="55" fillId="0" borderId="30" xfId="7" applyFont="1" applyFill="1" applyBorder="1"/>
    <xf numFmtId="0" fontId="52" fillId="0" borderId="30" xfId="7" applyFont="1" applyFill="1" applyBorder="1" applyAlignment="1">
      <alignment horizontal="center" vertical="center" wrapText="1"/>
    </xf>
    <xf numFmtId="168" fontId="50" fillId="0" borderId="0" xfId="0" applyNumberFormat="1" applyFont="1" applyBorder="1"/>
    <xf numFmtId="0" fontId="67" fillId="0" borderId="0" xfId="0" applyFont="1" applyBorder="1"/>
    <xf numFmtId="167" fontId="50" fillId="0" borderId="0" xfId="0" applyNumberFormat="1" applyFont="1" applyBorder="1"/>
    <xf numFmtId="0" fontId="49" fillId="0" borderId="0" xfId="0" applyFont="1" applyBorder="1" applyAlignment="1">
      <alignment horizontal="left" indent="11"/>
    </xf>
    <xf numFmtId="0" fontId="49" fillId="0" borderId="0" xfId="0" applyFont="1" applyBorder="1"/>
    <xf numFmtId="0" fontId="63" fillId="0" borderId="0" xfId="0" applyFont="1" applyBorder="1" applyAlignment="1">
      <alignment vertical="center"/>
    </xf>
    <xf numFmtId="0" fontId="63" fillId="0" borderId="0" xfId="0" applyFont="1" applyBorder="1" applyAlignment="1">
      <alignment horizontal="left" indent="11"/>
    </xf>
    <xf numFmtId="0" fontId="63" fillId="0" borderId="0" xfId="0" applyFont="1" applyBorder="1"/>
    <xf numFmtId="167" fontId="50" fillId="0" borderId="36" xfId="1" applyNumberFormat="1" applyFont="1" applyBorder="1"/>
    <xf numFmtId="167" fontId="50" fillId="0" borderId="32" xfId="1" applyNumberFormat="1" applyFont="1" applyBorder="1"/>
    <xf numFmtId="43" fontId="50" fillId="0" borderId="36" xfId="1" applyNumberFormat="1" applyFont="1" applyBorder="1"/>
    <xf numFmtId="167" fontId="50" fillId="0" borderId="34" xfId="1" applyNumberFormat="1" applyFont="1" applyBorder="1"/>
    <xf numFmtId="167" fontId="50" fillId="0" borderId="31" xfId="1" applyNumberFormat="1" applyFont="1" applyBorder="1"/>
    <xf numFmtId="167" fontId="50" fillId="0" borderId="37" xfId="1" applyNumberFormat="1" applyFont="1" applyBorder="1"/>
    <xf numFmtId="0" fontId="52" fillId="0" borderId="32" xfId="2" applyFont="1" applyBorder="1"/>
    <xf numFmtId="0" fontId="52" fillId="0" borderId="8" xfId="2" applyFont="1" applyBorder="1"/>
    <xf numFmtId="43" fontId="50" fillId="0" borderId="40" xfId="1" applyNumberFormat="1" applyFont="1" applyBorder="1"/>
    <xf numFmtId="43" fontId="50" fillId="0" borderId="9" xfId="1" applyNumberFormat="1" applyFont="1" applyBorder="1"/>
    <xf numFmtId="43" fontId="50" fillId="0" borderId="11" xfId="1" applyNumberFormat="1" applyFont="1" applyBorder="1"/>
    <xf numFmtId="43" fontId="50" fillId="0" borderId="4" xfId="1" applyNumberFormat="1" applyFont="1" applyBorder="1"/>
    <xf numFmtId="167" fontId="50" fillId="0" borderId="43" xfId="1" applyNumberFormat="1" applyFont="1" applyBorder="1"/>
    <xf numFmtId="167" fontId="50" fillId="0" borderId="42" xfId="1" applyNumberFormat="1" applyFont="1" applyBorder="1"/>
    <xf numFmtId="167" fontId="50" fillId="0" borderId="1" xfId="1" applyNumberFormat="1" applyFont="1" applyBorder="1"/>
    <xf numFmtId="167" fontId="50" fillId="0" borderId="10" xfId="1" applyNumberFormat="1" applyFont="1" applyBorder="1"/>
    <xf numFmtId="167" fontId="50" fillId="0" borderId="26" xfId="1" applyNumberFormat="1" applyFont="1" applyBorder="1"/>
    <xf numFmtId="10" fontId="50" fillId="0" borderId="43" xfId="6" applyNumberFormat="1" applyFont="1" applyBorder="1"/>
    <xf numFmtId="10" fontId="50" fillId="0" borderId="1" xfId="6" applyNumberFormat="1" applyFont="1" applyBorder="1"/>
    <xf numFmtId="0" fontId="52" fillId="0" borderId="27" xfId="2" applyFont="1" applyBorder="1"/>
    <xf numFmtId="0" fontId="50" fillId="0" borderId="27" xfId="0" applyFont="1" applyBorder="1"/>
    <xf numFmtId="0" fontId="66" fillId="0" borderId="33" xfId="0" applyFont="1" applyBorder="1"/>
    <xf numFmtId="0" fontId="66" fillId="0" borderId="29" xfId="0" applyFont="1" applyBorder="1"/>
    <xf numFmtId="0" fontId="66" fillId="0" borderId="34" xfId="0" applyFont="1" applyBorder="1"/>
    <xf numFmtId="167" fontId="50" fillId="0" borderId="47" xfId="1" applyNumberFormat="1" applyFont="1" applyBorder="1"/>
    <xf numFmtId="0" fontId="65" fillId="0" borderId="0" xfId="0" applyFont="1" applyBorder="1"/>
    <xf numFmtId="9" fontId="60" fillId="0" borderId="0" xfId="2" applyNumberFormat="1" applyFont="1"/>
    <xf numFmtId="9" fontId="50" fillId="0" borderId="0" xfId="0" applyNumberFormat="1" applyFont="1"/>
    <xf numFmtId="9" fontId="52" fillId="0" borderId="0" xfId="2" applyNumberFormat="1" applyFont="1"/>
    <xf numFmtId="9" fontId="52" fillId="0" borderId="0" xfId="2" applyNumberFormat="1" applyFont="1" applyBorder="1"/>
    <xf numFmtId="0" fontId="49" fillId="2" borderId="5" xfId="0" applyFont="1" applyFill="1" applyBorder="1" applyAlignment="1">
      <alignment vertical="center"/>
    </xf>
    <xf numFmtId="0" fontId="49" fillId="2" borderId="7" xfId="0" applyFont="1" applyFill="1" applyBorder="1" applyAlignment="1">
      <alignment vertical="center"/>
    </xf>
    <xf numFmtId="17" fontId="55" fillId="0" borderId="0" xfId="7" applyNumberFormat="1" applyFont="1" applyFill="1" applyBorder="1" applyAlignment="1">
      <alignment horizontal="center" wrapText="1"/>
    </xf>
    <xf numFmtId="0" fontId="49" fillId="2" borderId="36" xfId="0" applyFont="1" applyFill="1" applyBorder="1" applyAlignment="1">
      <alignment vertical="center"/>
    </xf>
    <xf numFmtId="43" fontId="50" fillId="0" borderId="0" xfId="0" applyNumberFormat="1" applyFont="1" applyBorder="1"/>
    <xf numFmtId="17" fontId="49" fillId="0" borderId="0" xfId="0" applyNumberFormat="1" applyFont="1" applyFill="1" applyBorder="1" applyAlignment="1">
      <alignment horizontal="center"/>
    </xf>
    <xf numFmtId="0" fontId="52" fillId="0" borderId="0" xfId="7" applyFont="1" applyBorder="1"/>
    <xf numFmtId="43" fontId="65" fillId="0" borderId="0" xfId="0" applyNumberFormat="1" applyFont="1" applyBorder="1"/>
    <xf numFmtId="0" fontId="52" fillId="0" borderId="8" xfId="2" applyFont="1" applyBorder="1" applyAlignment="1">
      <alignment vertical="center"/>
    </xf>
    <xf numFmtId="0" fontId="52" fillId="0" borderId="28" xfId="8" applyFont="1" applyFill="1" applyBorder="1" applyAlignment="1">
      <alignment horizontal="left" vertical="center" wrapText="1"/>
    </xf>
    <xf numFmtId="0" fontId="52" fillId="0" borderId="29" xfId="8" applyFont="1" applyBorder="1" applyAlignment="1">
      <alignment vertical="center" wrapText="1"/>
    </xf>
    <xf numFmtId="1" fontId="69" fillId="0" borderId="10" xfId="2" applyNumberFormat="1" applyFont="1" applyBorder="1" applyAlignment="1">
      <alignment horizontal="center" vertical="center"/>
    </xf>
    <xf numFmtId="1" fontId="69" fillId="0" borderId="41" xfId="2" applyNumberFormat="1" applyFont="1" applyBorder="1" applyAlignment="1">
      <alignment horizontal="center" vertical="center"/>
    </xf>
    <xf numFmtId="169" fontId="69" fillId="0" borderId="10" xfId="2" applyNumberFormat="1" applyFont="1" applyBorder="1" applyAlignment="1">
      <alignment vertical="center"/>
    </xf>
    <xf numFmtId="3" fontId="60" fillId="0" borderId="6" xfId="2" applyNumberFormat="1" applyFont="1" applyBorder="1" applyAlignment="1">
      <alignment vertical="center"/>
    </xf>
    <xf numFmtId="3" fontId="70" fillId="0" borderId="0" xfId="0" applyNumberFormat="1" applyFont="1" applyBorder="1"/>
    <xf numFmtId="0" fontId="52" fillId="0" borderId="8" xfId="2" applyFont="1" applyBorder="1" applyAlignment="1">
      <alignment horizontal="center" vertical="center"/>
    </xf>
    <xf numFmtId="9" fontId="52" fillId="0" borderId="8" xfId="2" applyNumberFormat="1" applyFont="1" applyBorder="1" applyAlignment="1">
      <alignment vertical="center"/>
    </xf>
    <xf numFmtId="43" fontId="50" fillId="0" borderId="11" xfId="1" applyNumberFormat="1" applyFont="1" applyBorder="1" applyAlignment="1">
      <alignment vertical="center"/>
    </xf>
    <xf numFmtId="43" fontId="50" fillId="0" borderId="4" xfId="1" applyNumberFormat="1" applyFont="1" applyBorder="1" applyAlignment="1">
      <alignment vertical="center"/>
    </xf>
    <xf numFmtId="0" fontId="52" fillId="9" borderId="6" xfId="2" applyFont="1" applyFill="1" applyBorder="1" applyAlignment="1">
      <alignment horizontal="right" vertical="center"/>
    </xf>
    <xf numFmtId="9" fontId="52" fillId="9" borderId="6" xfId="2" applyNumberFormat="1" applyFont="1" applyFill="1" applyBorder="1" applyAlignment="1">
      <alignment horizontal="center" vertical="center"/>
    </xf>
    <xf numFmtId="9" fontId="52" fillId="9" borderId="6" xfId="3" applyFont="1" applyFill="1" applyBorder="1" applyAlignment="1">
      <alignment horizontal="center" vertical="center"/>
    </xf>
    <xf numFmtId="0" fontId="51" fillId="2" borderId="57" xfId="0" applyFont="1" applyFill="1" applyBorder="1" applyAlignment="1">
      <alignment vertical="center"/>
    </xf>
    <xf numFmtId="0" fontId="49" fillId="2" borderId="58" xfId="0" applyFont="1" applyFill="1" applyBorder="1" applyAlignment="1">
      <alignment horizontal="centerContinuous" vertical="center" wrapText="1"/>
    </xf>
    <xf numFmtId="0" fontId="51" fillId="2" borderId="60" xfId="0" applyFont="1" applyFill="1" applyBorder="1" applyAlignment="1">
      <alignment vertical="center"/>
    </xf>
    <xf numFmtId="0" fontId="50" fillId="0" borderId="62" xfId="0" applyFont="1" applyBorder="1"/>
    <xf numFmtId="0" fontId="50" fillId="0" borderId="61" xfId="0" applyFont="1" applyBorder="1"/>
    <xf numFmtId="0" fontId="52" fillId="0" borderId="62" xfId="2" applyFont="1" applyBorder="1"/>
    <xf numFmtId="0" fontId="52" fillId="0" borderId="61" xfId="2" applyFont="1" applyBorder="1"/>
    <xf numFmtId="0" fontId="52" fillId="0" borderId="61" xfId="2" applyFont="1" applyBorder="1" applyAlignment="1">
      <alignment horizontal="left" vertical="center" wrapText="1"/>
    </xf>
    <xf numFmtId="3" fontId="60" fillId="0" borderId="58" xfId="2" applyNumberFormat="1" applyFont="1" applyBorder="1" applyAlignment="1">
      <alignment vertical="center"/>
    </xf>
    <xf numFmtId="1" fontId="52" fillId="0" borderId="79" xfId="2" applyNumberFormat="1" applyFont="1" applyBorder="1" applyAlignment="1">
      <alignment vertical="center"/>
    </xf>
    <xf numFmtId="0" fontId="52" fillId="0" borderId="68" xfId="2" applyFont="1" applyBorder="1" applyAlignment="1">
      <alignment horizontal="left" vertical="center" wrapText="1"/>
    </xf>
    <xf numFmtId="0" fontId="49" fillId="2" borderId="34" xfId="0" applyFont="1" applyFill="1" applyBorder="1" applyAlignment="1">
      <alignment vertical="center"/>
    </xf>
    <xf numFmtId="0" fontId="49" fillId="2" borderId="86" xfId="0" applyFont="1" applyFill="1" applyBorder="1" applyAlignment="1">
      <alignment vertical="center"/>
    </xf>
    <xf numFmtId="0" fontId="49" fillId="10" borderId="13" xfId="0" applyFont="1" applyFill="1" applyBorder="1" applyAlignment="1">
      <alignment horizontal="center" vertical="center"/>
    </xf>
    <xf numFmtId="0" fontId="50" fillId="0" borderId="92" xfId="0" applyFont="1" applyBorder="1"/>
    <xf numFmtId="0" fontId="50" fillId="0" borderId="25" xfId="0" applyFont="1" applyBorder="1"/>
    <xf numFmtId="0" fontId="50" fillId="0" borderId="93" xfId="0" applyFont="1" applyBorder="1"/>
    <xf numFmtId="0" fontId="50" fillId="0" borderId="86" xfId="0" applyFont="1" applyBorder="1"/>
    <xf numFmtId="0" fontId="49" fillId="2" borderId="16" xfId="0" applyFont="1" applyFill="1" applyBorder="1" applyAlignment="1">
      <alignment vertical="center"/>
    </xf>
    <xf numFmtId="10" fontId="50" fillId="0" borderId="5" xfId="6" applyNumberFormat="1" applyFont="1" applyBorder="1"/>
    <xf numFmtId="0" fontId="49" fillId="10" borderId="16" xfId="0" applyFont="1" applyFill="1" applyBorder="1" applyAlignment="1">
      <alignment horizontal="center"/>
    </xf>
    <xf numFmtId="0" fontId="49" fillId="10" borderId="21" xfId="0" applyFont="1" applyFill="1" applyBorder="1" applyAlignment="1">
      <alignment horizontal="center"/>
    </xf>
    <xf numFmtId="0" fontId="52" fillId="0" borderId="92" xfId="2" applyFont="1" applyBorder="1"/>
    <xf numFmtId="0" fontId="52" fillId="0" borderId="25" xfId="2" applyFont="1" applyBorder="1"/>
    <xf numFmtId="0" fontId="52" fillId="0" borderId="38" xfId="2" applyFont="1" applyBorder="1"/>
    <xf numFmtId="0" fontId="52" fillId="0" borderId="89" xfId="2" applyFont="1" applyBorder="1"/>
    <xf numFmtId="0" fontId="52" fillId="0" borderId="93" xfId="2" applyFont="1" applyBorder="1"/>
    <xf numFmtId="0" fontId="52" fillId="2" borderId="13" xfId="2" applyFont="1" applyFill="1" applyBorder="1" applyAlignment="1">
      <alignment horizontal="center"/>
    </xf>
    <xf numFmtId="0" fontId="52" fillId="2" borderId="91" xfId="2" applyFont="1" applyFill="1" applyBorder="1" applyAlignment="1">
      <alignment horizontal="center"/>
    </xf>
    <xf numFmtId="0" fontId="52" fillId="0" borderId="0" xfId="8" applyFont="1" applyFill="1" applyBorder="1" applyAlignment="1">
      <alignment horizontal="left" vertical="center" wrapText="1"/>
    </xf>
    <xf numFmtId="0" fontId="52" fillId="0" borderId="25" xfId="8" applyFont="1" applyFill="1" applyBorder="1" applyAlignment="1">
      <alignment horizontal="left" vertical="center" wrapText="1"/>
    </xf>
    <xf numFmtId="43" fontId="52" fillId="0" borderId="38" xfId="1" applyFont="1" applyBorder="1"/>
    <xf numFmtId="0" fontId="58" fillId="0" borderId="38" xfId="7" applyFont="1" applyBorder="1"/>
    <xf numFmtId="0" fontId="52" fillId="0" borderId="25" xfId="7" applyFont="1" applyBorder="1"/>
    <xf numFmtId="1" fontId="69" fillId="0" borderId="95" xfId="2" applyNumberFormat="1" applyFont="1" applyBorder="1" applyAlignment="1">
      <alignment horizontal="center" vertical="center"/>
    </xf>
    <xf numFmtId="0" fontId="52" fillId="0" borderId="88" xfId="2" applyFont="1" applyBorder="1"/>
    <xf numFmtId="2" fontId="52" fillId="0" borderId="38" xfId="2" applyNumberFormat="1" applyFont="1" applyBorder="1"/>
    <xf numFmtId="1" fontId="52" fillId="0" borderId="38" xfId="2" applyNumberFormat="1" applyFont="1" applyBorder="1"/>
    <xf numFmtId="3" fontId="52" fillId="0" borderId="34" xfId="2" applyNumberFormat="1" applyFont="1" applyBorder="1" applyAlignment="1">
      <alignment vertical="center"/>
    </xf>
    <xf numFmtId="3" fontId="52" fillId="0" borderId="5" xfId="2" applyNumberFormat="1" applyFont="1" applyBorder="1" applyAlignment="1">
      <alignment vertical="center"/>
    </xf>
    <xf numFmtId="3" fontId="52" fillId="0" borderId="74" xfId="2" applyNumberFormat="1" applyFont="1" applyBorder="1" applyAlignment="1">
      <alignment vertical="center"/>
    </xf>
    <xf numFmtId="0" fontId="52" fillId="0" borderId="73" xfId="2" applyFont="1" applyBorder="1" applyAlignment="1">
      <alignment horizontal="left" vertical="center"/>
    </xf>
    <xf numFmtId="0" fontId="52" fillId="0" borderId="29" xfId="2" applyFont="1" applyBorder="1" applyAlignment="1">
      <alignment horizontal="left" vertical="center"/>
    </xf>
    <xf numFmtId="0" fontId="52" fillId="0" borderId="34" xfId="2" applyFont="1" applyBorder="1" applyAlignment="1">
      <alignment horizontal="left" vertical="center"/>
    </xf>
    <xf numFmtId="0" fontId="52" fillId="0" borderId="80" xfId="2" applyFont="1" applyBorder="1" applyAlignment="1">
      <alignment horizontal="left" vertical="center"/>
    </xf>
    <xf numFmtId="0" fontId="52" fillId="0" borderId="81" xfId="2" applyFont="1" applyBorder="1" applyAlignment="1">
      <alignment horizontal="left" vertical="center"/>
    </xf>
    <xf numFmtId="0" fontId="52" fillId="0" borderId="82" xfId="2" applyFont="1" applyBorder="1" applyAlignment="1">
      <alignment horizontal="left" vertical="center"/>
    </xf>
    <xf numFmtId="167" fontId="50" fillId="0" borderId="110" xfId="1" applyNumberFormat="1" applyFont="1" applyBorder="1"/>
    <xf numFmtId="167" fontId="50" fillId="0" borderId="109" xfId="1" applyNumberFormat="1" applyFont="1" applyBorder="1"/>
    <xf numFmtId="167" fontId="50" fillId="0" borderId="97" xfId="1" applyNumberFormat="1" applyFont="1" applyBorder="1"/>
    <xf numFmtId="0" fontId="49" fillId="10" borderId="14" xfId="0" applyFont="1" applyFill="1" applyBorder="1" applyAlignment="1">
      <alignment horizontal="center" vertical="center"/>
    </xf>
    <xf numFmtId="0" fontId="49" fillId="10" borderId="12" xfId="0" applyFont="1" applyFill="1" applyBorder="1" applyAlignment="1">
      <alignment horizontal="center" vertical="center"/>
    </xf>
    <xf numFmtId="17" fontId="49" fillId="2" borderId="118" xfId="0" applyNumberFormat="1" applyFont="1" applyFill="1" applyBorder="1" applyAlignment="1">
      <alignment horizontal="center"/>
    </xf>
    <xf numFmtId="17" fontId="49" fillId="2" borderId="119" xfId="0" applyNumberFormat="1" applyFont="1" applyFill="1" applyBorder="1" applyAlignment="1">
      <alignment horizontal="center"/>
    </xf>
    <xf numFmtId="167" fontId="50" fillId="0" borderId="114" xfId="1" applyNumberFormat="1" applyFont="1" applyBorder="1"/>
    <xf numFmtId="10" fontId="50" fillId="6" borderId="1" xfId="6" applyNumberFormat="1" applyFont="1" applyFill="1" applyBorder="1"/>
    <xf numFmtId="167" fontId="50" fillId="0" borderId="11" xfId="1" applyNumberFormat="1" applyFont="1" applyBorder="1" applyAlignment="1">
      <alignment vertical="center"/>
    </xf>
    <xf numFmtId="167" fontId="50" fillId="0" borderId="4" xfId="1" applyNumberFormat="1" applyFont="1" applyBorder="1" applyAlignment="1">
      <alignment vertical="center"/>
    </xf>
    <xf numFmtId="167" fontId="50" fillId="0" borderId="45" xfId="1" applyNumberFormat="1" applyFont="1" applyBorder="1" applyAlignment="1">
      <alignment vertical="center"/>
    </xf>
    <xf numFmtId="167" fontId="50" fillId="0" borderId="46" xfId="1" applyNumberFormat="1" applyFont="1" applyBorder="1" applyAlignment="1">
      <alignment vertical="center"/>
    </xf>
    <xf numFmtId="167" fontId="50" fillId="0" borderId="40" xfId="1" applyNumberFormat="1" applyFont="1" applyBorder="1"/>
    <xf numFmtId="167" fontId="50" fillId="0" borderId="9" xfId="1" applyNumberFormat="1" applyFont="1" applyBorder="1"/>
    <xf numFmtId="167" fontId="50" fillId="0" borderId="11" xfId="1" applyNumberFormat="1" applyFont="1" applyBorder="1"/>
    <xf numFmtId="167" fontId="50" fillId="0" borderId="4" xfId="1" applyNumberFormat="1" applyFont="1" applyBorder="1"/>
    <xf numFmtId="17" fontId="49" fillId="2" borderId="127" xfId="0" applyNumberFormat="1" applyFont="1" applyFill="1" applyBorder="1" applyAlignment="1">
      <alignment horizontal="center"/>
    </xf>
    <xf numFmtId="17" fontId="49" fillId="2" borderId="128" xfId="0" applyNumberFormat="1" applyFont="1" applyFill="1" applyBorder="1" applyAlignment="1">
      <alignment horizontal="center"/>
    </xf>
    <xf numFmtId="17" fontId="49" fillId="2" borderId="128" xfId="0" applyNumberFormat="1" applyFont="1" applyFill="1" applyBorder="1" applyAlignment="1">
      <alignment horizontal="center" vertical="center"/>
    </xf>
    <xf numFmtId="17" fontId="49" fillId="2" borderId="129" xfId="0" applyNumberFormat="1" applyFont="1" applyFill="1" applyBorder="1" applyAlignment="1">
      <alignment horizontal="center" vertical="center"/>
    </xf>
    <xf numFmtId="17" fontId="49" fillId="2" borderId="131" xfId="0" applyNumberFormat="1" applyFont="1" applyFill="1" applyBorder="1" applyAlignment="1">
      <alignment horizontal="center"/>
    </xf>
    <xf numFmtId="167" fontId="50" fillId="0" borderId="126" xfId="1" applyNumberFormat="1" applyFont="1" applyBorder="1"/>
    <xf numFmtId="0" fontId="49" fillId="10" borderId="13" xfId="0" applyFont="1" applyFill="1" applyBorder="1" applyAlignment="1">
      <alignment horizontal="center" vertical="center" wrapText="1"/>
    </xf>
    <xf numFmtId="17" fontId="49" fillId="2" borderId="131" xfId="0" applyNumberFormat="1" applyFont="1" applyFill="1" applyBorder="1" applyAlignment="1">
      <alignment horizontal="center" vertical="center"/>
    </xf>
    <xf numFmtId="167" fontId="50" fillId="3" borderId="7" xfId="1" applyNumberFormat="1" applyFont="1" applyFill="1" applyBorder="1"/>
    <xf numFmtId="167" fontId="50" fillId="0" borderId="3" xfId="1" applyNumberFormat="1" applyFont="1" applyBorder="1"/>
    <xf numFmtId="0" fontId="71" fillId="0" borderId="0" xfId="0" applyFont="1"/>
    <xf numFmtId="167" fontId="50" fillId="0" borderId="115" xfId="1" applyNumberFormat="1" applyFont="1" applyBorder="1"/>
    <xf numFmtId="17" fontId="49" fillId="2" borderId="134" xfId="0" applyNumberFormat="1" applyFont="1" applyFill="1" applyBorder="1" applyAlignment="1">
      <alignment horizontal="center"/>
    </xf>
    <xf numFmtId="17" fontId="49" fillId="2" borderId="134" xfId="0" applyNumberFormat="1" applyFont="1" applyFill="1" applyBorder="1" applyAlignment="1">
      <alignment horizontal="center" vertical="center"/>
    </xf>
    <xf numFmtId="0" fontId="49" fillId="10" borderId="14" xfId="0" applyFont="1" applyFill="1" applyBorder="1" applyAlignment="1">
      <alignment horizontal="center" vertical="center" wrapText="1"/>
    </xf>
    <xf numFmtId="167" fontId="50" fillId="3" borderId="6" xfId="1" applyNumberFormat="1" applyFont="1" applyFill="1" applyBorder="1" applyAlignment="1">
      <alignment vertical="center"/>
    </xf>
    <xf numFmtId="0" fontId="49" fillId="3" borderId="50" xfId="0" applyFont="1" applyFill="1" applyBorder="1" applyAlignment="1">
      <alignment horizontal="center"/>
    </xf>
    <xf numFmtId="0" fontId="49" fillId="3" borderId="23" xfId="0" applyFont="1" applyFill="1" applyBorder="1" applyAlignment="1">
      <alignment horizontal="center" vertical="center"/>
    </xf>
    <xf numFmtId="167" fontId="50" fillId="0" borderId="141" xfId="1" applyNumberFormat="1" applyFont="1" applyBorder="1"/>
    <xf numFmtId="0" fontId="49" fillId="2" borderId="18" xfId="0" applyFont="1" applyFill="1" applyBorder="1" applyAlignment="1">
      <alignment horizontal="centerContinuous" vertical="center" wrapText="1"/>
    </xf>
    <xf numFmtId="0" fontId="49" fillId="0" borderId="140" xfId="0" applyFont="1" applyBorder="1" applyAlignment="1">
      <alignment vertical="center"/>
    </xf>
    <xf numFmtId="0" fontId="49" fillId="0" borderId="103" xfId="0" applyFont="1" applyBorder="1" applyAlignment="1">
      <alignment vertical="center"/>
    </xf>
    <xf numFmtId="10" fontId="50" fillId="2" borderId="13" xfId="6" applyNumberFormat="1" applyFont="1" applyFill="1" applyBorder="1" applyAlignment="1">
      <alignment horizontal="right" vertical="center"/>
    </xf>
    <xf numFmtId="43" fontId="49" fillId="0" borderId="98" xfId="1" applyFont="1" applyBorder="1" applyAlignment="1">
      <alignment vertical="center"/>
    </xf>
    <xf numFmtId="17" fontId="49" fillId="0" borderId="128" xfId="2" applyNumberFormat="1" applyFont="1" applyBorder="1" applyAlignment="1">
      <alignment horizontal="center" vertical="center"/>
    </xf>
    <xf numFmtId="3" fontId="52" fillId="0" borderId="6" xfId="2" applyNumberFormat="1" applyFont="1" applyBorder="1" applyAlignment="1"/>
    <xf numFmtId="17" fontId="49" fillId="2" borderId="146" xfId="0" applyNumberFormat="1" applyFont="1" applyFill="1" applyBorder="1" applyAlignment="1">
      <alignment horizontal="center"/>
    </xf>
    <xf numFmtId="43" fontId="50" fillId="0" borderId="150" xfId="1" applyNumberFormat="1" applyFont="1" applyBorder="1"/>
    <xf numFmtId="43" fontId="50" fillId="0" borderId="121" xfId="1" applyNumberFormat="1" applyFont="1" applyBorder="1"/>
    <xf numFmtId="0" fontId="49" fillId="0" borderId="0" xfId="0" applyFont="1"/>
    <xf numFmtId="0" fontId="51" fillId="2" borderId="139" xfId="0" applyFont="1" applyFill="1" applyBorder="1" applyAlignment="1">
      <alignment vertical="center"/>
    </xf>
    <xf numFmtId="0" fontId="49" fillId="2" borderId="19" xfId="0" applyFont="1" applyFill="1" applyBorder="1" applyAlignment="1">
      <alignment vertical="center"/>
    </xf>
    <xf numFmtId="0" fontId="51" fillId="2" borderId="130" xfId="0" applyFont="1" applyFill="1" applyBorder="1" applyAlignment="1">
      <alignment vertical="center"/>
    </xf>
    <xf numFmtId="0" fontId="51" fillId="2" borderId="123" xfId="0" applyFont="1" applyFill="1" applyBorder="1" applyAlignment="1">
      <alignment vertical="center"/>
    </xf>
    <xf numFmtId="0" fontId="51" fillId="2" borderId="152" xfId="0" applyFont="1" applyFill="1" applyBorder="1" applyAlignment="1">
      <alignment vertical="center"/>
    </xf>
    <xf numFmtId="0" fontId="50" fillId="2" borderId="122" xfId="0" applyFont="1" applyFill="1" applyBorder="1" applyAlignment="1">
      <alignment horizontal="centerContinuous"/>
    </xf>
    <xf numFmtId="43" fontId="50" fillId="0" borderId="122" xfId="1" applyNumberFormat="1" applyFont="1" applyBorder="1"/>
    <xf numFmtId="43" fontId="50" fillId="0" borderId="103" xfId="1" applyNumberFormat="1" applyFont="1" applyBorder="1"/>
    <xf numFmtId="0" fontId="0" fillId="0" borderId="150" xfId="0" applyFill="1" applyBorder="1"/>
    <xf numFmtId="0" fontId="0" fillId="0" borderId="109" xfId="0" applyFill="1" applyBorder="1"/>
    <xf numFmtId="0" fontId="0" fillId="0" borderId="10" xfId="0" applyFill="1" applyBorder="1"/>
    <xf numFmtId="0" fontId="0" fillId="0" borderId="39" xfId="0" applyFill="1" applyBorder="1"/>
    <xf numFmtId="0" fontId="0" fillId="0" borderId="0" xfId="0" applyFill="1"/>
    <xf numFmtId="170" fontId="70" fillId="0" borderId="6" xfId="0" applyNumberFormat="1" applyFont="1" applyBorder="1"/>
    <xf numFmtId="3" fontId="70" fillId="0" borderId="22" xfId="0" applyNumberFormat="1" applyFont="1" applyBorder="1" applyAlignment="1">
      <alignment horizontal="center"/>
    </xf>
    <xf numFmtId="0" fontId="74" fillId="0" borderId="0" xfId="0" applyFont="1" applyBorder="1"/>
    <xf numFmtId="174" fontId="50" fillId="0" borderId="2" xfId="1" applyNumberFormat="1" applyFont="1" applyBorder="1"/>
    <xf numFmtId="174" fontId="50" fillId="0" borderId="41" xfId="1" applyNumberFormat="1" applyFont="1" applyBorder="1"/>
    <xf numFmtId="174" fontId="50" fillId="0" borderId="10" xfId="1" applyNumberFormat="1" applyFont="1" applyBorder="1"/>
    <xf numFmtId="174" fontId="50" fillId="0" borderId="1" xfId="1" applyNumberFormat="1" applyFont="1" applyBorder="1"/>
    <xf numFmtId="174" fontId="50" fillId="0" borderId="2" xfId="1" applyNumberFormat="1" applyFont="1" applyBorder="1" applyAlignment="1">
      <alignment vertical="center"/>
    </xf>
    <xf numFmtId="174" fontId="50" fillId="0" borderId="41" xfId="1" applyNumberFormat="1" applyFont="1" applyBorder="1" applyAlignment="1">
      <alignment vertical="center"/>
    </xf>
    <xf numFmtId="174" fontId="50" fillId="0" borderId="10" xfId="1" applyNumberFormat="1" applyFont="1" applyBorder="1" applyAlignment="1">
      <alignment vertical="center"/>
    </xf>
    <xf numFmtId="174" fontId="50" fillId="0" borderId="1" xfId="1" applyNumberFormat="1" applyFont="1" applyBorder="1" applyAlignment="1">
      <alignment vertical="center"/>
    </xf>
    <xf numFmtId="0" fontId="52" fillId="5" borderId="121" xfId="2" applyFont="1" applyFill="1" applyBorder="1"/>
    <xf numFmtId="0" fontId="55" fillId="5" borderId="0" xfId="2" applyFont="1" applyFill="1" applyBorder="1" applyAlignment="1">
      <alignment vertical="center"/>
    </xf>
    <xf numFmtId="1" fontId="69" fillId="0" borderId="109" xfId="2" applyNumberFormat="1" applyFont="1" applyBorder="1" applyAlignment="1">
      <alignment horizontal="center" vertical="center"/>
    </xf>
    <xf numFmtId="1" fontId="69" fillId="0" borderId="111" xfId="2" applyNumberFormat="1" applyFont="1" applyBorder="1" applyAlignment="1">
      <alignment horizontal="center" vertical="center"/>
    </xf>
    <xf numFmtId="169" fontId="69" fillId="0" borderId="109" xfId="2" applyNumberFormat="1" applyFont="1" applyBorder="1" applyAlignment="1">
      <alignment vertical="center"/>
    </xf>
    <xf numFmtId="1" fontId="69" fillId="0" borderId="115" xfId="2" applyNumberFormat="1" applyFont="1" applyBorder="1" applyAlignment="1">
      <alignment horizontal="center" vertical="center"/>
    </xf>
    <xf numFmtId="1" fontId="69" fillId="0" borderId="97" xfId="2" applyNumberFormat="1" applyFont="1" applyBorder="1" applyAlignment="1">
      <alignment horizontal="center" vertical="center"/>
    </xf>
    <xf numFmtId="164" fontId="52" fillId="5" borderId="0" xfId="4" applyFont="1" applyFill="1"/>
    <xf numFmtId="43" fontId="75" fillId="0" borderId="0" xfId="1" applyFont="1" applyBorder="1"/>
    <xf numFmtId="43" fontId="75" fillId="0" borderId="0" xfId="1" applyNumberFormat="1" applyFont="1" applyBorder="1" applyAlignment="1">
      <alignment horizontal="right" vertical="center"/>
    </xf>
    <xf numFmtId="43" fontId="75" fillId="0" borderId="0" xfId="1" applyFont="1" applyFill="1" applyBorder="1" applyAlignment="1">
      <alignment vertical="center"/>
    </xf>
    <xf numFmtId="0" fontId="52" fillId="5" borderId="0" xfId="2" applyFont="1" applyFill="1"/>
    <xf numFmtId="0" fontId="115" fillId="0" borderId="0" xfId="2" applyFont="1"/>
    <xf numFmtId="0" fontId="113" fillId="0" borderId="0" xfId="168" applyFont="1" applyBorder="1"/>
    <xf numFmtId="2" fontId="115" fillId="0" borderId="0" xfId="2" applyNumberFormat="1" applyFont="1"/>
    <xf numFmtId="167" fontId="50" fillId="0" borderId="178" xfId="1" applyNumberFormat="1" applyFont="1" applyBorder="1"/>
    <xf numFmtId="0" fontId="0" fillId="0" borderId="0" xfId="0" applyFill="1" applyBorder="1"/>
    <xf numFmtId="43" fontId="50" fillId="5" borderId="0" xfId="0" applyNumberFormat="1" applyFont="1" applyFill="1" applyBorder="1"/>
    <xf numFmtId="167" fontId="50" fillId="0" borderId="41" xfId="1" applyNumberFormat="1" applyFont="1" applyBorder="1"/>
    <xf numFmtId="167" fontId="50" fillId="0" borderId="168" xfId="1" applyNumberFormat="1" applyFont="1" applyBorder="1"/>
    <xf numFmtId="169" fontId="53" fillId="0" borderId="0" xfId="0" applyNumberFormat="1" applyFont="1" applyProtection="1"/>
    <xf numFmtId="0" fontId="49" fillId="10" borderId="107" xfId="0" applyFont="1" applyFill="1" applyBorder="1" applyAlignment="1">
      <alignment horizontal="center" vertical="center" wrapText="1"/>
    </xf>
    <xf numFmtId="43" fontId="49" fillId="0" borderId="0" xfId="1" applyNumberFormat="1" applyFont="1" applyBorder="1"/>
    <xf numFmtId="168" fontId="49" fillId="0" borderId="0" xfId="1" applyNumberFormat="1" applyFont="1" applyBorder="1"/>
    <xf numFmtId="168" fontId="65" fillId="0" borderId="0" xfId="0" applyNumberFormat="1" applyFont="1" applyBorder="1"/>
    <xf numFmtId="174" fontId="50" fillId="0" borderId="185" xfId="1" applyNumberFormat="1" applyFont="1" applyBorder="1"/>
    <xf numFmtId="174" fontId="50" fillId="0" borderId="186" xfId="1" applyNumberFormat="1" applyFont="1" applyBorder="1"/>
    <xf numFmtId="174" fontId="50" fillId="0" borderId="26" xfId="1" applyNumberFormat="1" applyFont="1" applyBorder="1"/>
    <xf numFmtId="174" fontId="50" fillId="0" borderId="187" xfId="1" applyNumberFormat="1" applyFont="1" applyBorder="1"/>
    <xf numFmtId="17" fontId="49" fillId="2" borderId="189" xfId="0" applyNumberFormat="1" applyFont="1" applyFill="1" applyBorder="1" applyAlignment="1">
      <alignment horizontal="center"/>
    </xf>
    <xf numFmtId="17" fontId="49" fillId="0" borderId="145" xfId="2" applyNumberFormat="1" applyFont="1" applyBorder="1" applyAlignment="1">
      <alignment horizontal="center" vertical="center"/>
    </xf>
    <xf numFmtId="17" fontId="49" fillId="0" borderId="132" xfId="2" applyNumberFormat="1" applyFont="1" applyBorder="1" applyAlignment="1">
      <alignment horizontal="center" vertical="center"/>
    </xf>
    <xf numFmtId="2" fontId="45" fillId="0" borderId="121" xfId="24" applyNumberFormat="1" applyBorder="1"/>
    <xf numFmtId="2" fontId="45" fillId="0" borderId="0" xfId="24" applyNumberFormat="1" applyBorder="1"/>
    <xf numFmtId="3" fontId="60" fillId="0" borderId="5" xfId="2" applyNumberFormat="1" applyFont="1" applyBorder="1" applyAlignment="1">
      <alignment vertical="center"/>
    </xf>
    <xf numFmtId="3" fontId="60" fillId="0" borderId="6" xfId="2" applyNumberFormat="1" applyFont="1" applyFill="1" applyBorder="1" applyAlignment="1">
      <alignment vertical="center"/>
    </xf>
    <xf numFmtId="3" fontId="60" fillId="0" borderId="58" xfId="2" applyNumberFormat="1" applyFont="1" applyFill="1" applyBorder="1" applyAlignment="1">
      <alignment vertical="center"/>
    </xf>
    <xf numFmtId="0" fontId="60" fillId="0" borderId="0" xfId="2" applyFont="1" applyFill="1"/>
    <xf numFmtId="3" fontId="60" fillId="0" borderId="5" xfId="2" applyNumberFormat="1" applyFont="1" applyFill="1" applyBorder="1" applyAlignment="1">
      <alignment vertical="center"/>
    </xf>
    <xf numFmtId="10" fontId="50" fillId="0" borderId="0" xfId="0" applyNumberFormat="1" applyFont="1" applyBorder="1"/>
    <xf numFmtId="0" fontId="52" fillId="0" borderId="25" xfId="7" applyFont="1" applyBorder="1" applyAlignment="1">
      <alignment horizontal="center"/>
    </xf>
    <xf numFmtId="0" fontId="58" fillId="0" borderId="38" xfId="7" applyFont="1" applyBorder="1" applyAlignment="1">
      <alignment horizontal="center"/>
    </xf>
    <xf numFmtId="0" fontId="52" fillId="0" borderId="8" xfId="2" applyFont="1" applyBorder="1" applyAlignment="1">
      <alignment horizontal="center"/>
    </xf>
    <xf numFmtId="0" fontId="52" fillId="0" borderId="0" xfId="2" applyFont="1" applyBorder="1" applyAlignment="1">
      <alignment horizontal="center"/>
    </xf>
    <xf numFmtId="0" fontId="52" fillId="0" borderId="29" xfId="2" applyFont="1" applyBorder="1" applyAlignment="1">
      <alignment horizontal="center"/>
    </xf>
    <xf numFmtId="0" fontId="52" fillId="0" borderId="0" xfId="2" applyFont="1" applyAlignment="1">
      <alignment horizontal="center"/>
    </xf>
    <xf numFmtId="3" fontId="60" fillId="5" borderId="6" xfId="2" applyNumberFormat="1" applyFont="1" applyFill="1" applyBorder="1" applyAlignment="1">
      <alignment vertical="center"/>
    </xf>
    <xf numFmtId="3" fontId="60" fillId="5" borderId="5" xfId="2" applyNumberFormat="1" applyFont="1" applyFill="1" applyBorder="1" applyAlignment="1">
      <alignment vertical="center"/>
    </xf>
    <xf numFmtId="171" fontId="52" fillId="0" borderId="0" xfId="7" applyNumberFormat="1" applyFont="1" applyFill="1" applyBorder="1" applyAlignment="1">
      <alignment horizontal="center"/>
    </xf>
    <xf numFmtId="0" fontId="55" fillId="2" borderId="135" xfId="8" applyFont="1" applyFill="1" applyBorder="1" applyAlignment="1">
      <alignment vertical="center" wrapText="1"/>
    </xf>
    <xf numFmtId="43" fontId="52" fillId="0" borderId="0" xfId="2" applyNumberFormat="1" applyFont="1" applyBorder="1"/>
    <xf numFmtId="167" fontId="121" fillId="0" borderId="135" xfId="1" applyNumberFormat="1" applyFont="1" applyBorder="1"/>
    <xf numFmtId="17" fontId="49" fillId="2" borderId="153" xfId="0" applyNumberFormat="1" applyFont="1" applyFill="1" applyBorder="1" applyAlignment="1">
      <alignment horizontal="center" vertical="center"/>
    </xf>
    <xf numFmtId="10" fontId="50" fillId="6" borderId="178" xfId="6" applyNumberFormat="1" applyFont="1" applyFill="1" applyBorder="1"/>
    <xf numFmtId="10" fontId="50" fillId="6" borderId="110" xfId="6" applyNumberFormat="1" applyFont="1" applyFill="1" applyBorder="1"/>
    <xf numFmtId="10" fontId="50" fillId="6" borderId="115" xfId="6" applyNumberFormat="1" applyFont="1" applyFill="1" applyBorder="1"/>
    <xf numFmtId="10" fontId="50" fillId="6" borderId="97" xfId="6" applyNumberFormat="1" applyFont="1" applyFill="1" applyBorder="1"/>
    <xf numFmtId="167" fontId="50" fillId="73" borderId="97" xfId="1" applyNumberFormat="1" applyFont="1" applyFill="1" applyBorder="1"/>
    <xf numFmtId="167" fontId="50" fillId="73" borderId="141" xfId="1" applyNumberFormat="1" applyFont="1" applyFill="1" applyBorder="1"/>
    <xf numFmtId="0" fontId="50" fillId="0" borderId="31" xfId="0" applyFont="1" applyBorder="1"/>
    <xf numFmtId="167" fontId="50" fillId="66" borderId="195" xfId="1" applyNumberFormat="1" applyFont="1" applyFill="1" applyBorder="1"/>
    <xf numFmtId="167" fontId="50" fillId="66" borderId="125" xfId="1" applyNumberFormat="1" applyFont="1" applyFill="1" applyBorder="1"/>
    <xf numFmtId="167" fontId="50" fillId="66" borderId="193" xfId="1" applyNumberFormat="1" applyFont="1" applyFill="1" applyBorder="1"/>
    <xf numFmtId="43" fontId="50" fillId="0" borderId="30" xfId="1" applyNumberFormat="1" applyFont="1" applyBorder="1"/>
    <xf numFmtId="43" fontId="50" fillId="0" borderId="151" xfId="1" applyNumberFormat="1" applyFont="1" applyBorder="1"/>
    <xf numFmtId="43" fontId="49" fillId="0" borderId="30" xfId="1" applyNumberFormat="1" applyFont="1" applyFill="1" applyBorder="1"/>
    <xf numFmtId="43" fontId="50" fillId="0" borderId="195" xfId="1" applyNumberFormat="1" applyFont="1" applyBorder="1"/>
    <xf numFmtId="43" fontId="50" fillId="0" borderId="125" xfId="1" applyNumberFormat="1" applyFont="1" applyBorder="1"/>
    <xf numFmtId="43" fontId="49" fillId="0" borderId="125" xfId="1" applyNumberFormat="1" applyFont="1" applyFill="1" applyBorder="1"/>
    <xf numFmtId="17" fontId="55" fillId="0" borderId="0" xfId="7" applyNumberFormat="1" applyFont="1" applyFill="1" applyBorder="1" applyAlignment="1">
      <alignment wrapText="1"/>
    </xf>
    <xf numFmtId="167" fontId="50" fillId="0" borderId="200" xfId="1" applyNumberFormat="1" applyFont="1" applyBorder="1"/>
    <xf numFmtId="167" fontId="50" fillId="0" borderId="201" xfId="1" applyNumberFormat="1" applyFont="1" applyBorder="1"/>
    <xf numFmtId="167" fontId="50" fillId="73" borderId="202" xfId="1" applyNumberFormat="1" applyFont="1" applyFill="1" applyBorder="1"/>
    <xf numFmtId="0" fontId="49" fillId="3" borderId="14" xfId="0" applyFont="1" applyFill="1" applyBorder="1" applyAlignment="1">
      <alignment horizontal="center" vertical="center"/>
    </xf>
    <xf numFmtId="167" fontId="50" fillId="3" borderId="13" xfId="1" applyNumberFormat="1" applyFont="1" applyFill="1" applyBorder="1" applyAlignment="1">
      <alignment vertical="center"/>
    </xf>
    <xf numFmtId="167" fontId="50" fillId="3" borderId="12" xfId="1" applyNumberFormat="1" applyFont="1" applyFill="1" applyBorder="1"/>
    <xf numFmtId="0" fontId="35" fillId="0" borderId="0" xfId="262"/>
    <xf numFmtId="0" fontId="51" fillId="2" borderId="148" xfId="262" applyFont="1" applyFill="1" applyBorder="1" applyAlignment="1">
      <alignment horizontal="left" vertical="center"/>
    </xf>
    <xf numFmtId="0" fontId="49" fillId="2" borderId="18" xfId="262" applyFont="1" applyFill="1" applyBorder="1" applyAlignment="1">
      <alignment horizontal="centerContinuous" vertical="center" wrapText="1"/>
    </xf>
    <xf numFmtId="0" fontId="51" fillId="2" borderId="135" xfId="262" applyFont="1" applyFill="1" applyBorder="1" applyAlignment="1">
      <alignment horizontal="left" vertical="center"/>
    </xf>
    <xf numFmtId="0" fontId="51" fillId="2" borderId="192" xfId="262" applyFont="1" applyFill="1" applyBorder="1" applyAlignment="1">
      <alignment horizontal="left" vertical="center"/>
    </xf>
    <xf numFmtId="0" fontId="51" fillId="5" borderId="0" xfId="262" applyFont="1" applyFill="1" applyBorder="1" applyAlignment="1">
      <alignment horizontal="left" vertical="center"/>
    </xf>
    <xf numFmtId="0" fontId="49" fillId="0" borderId="0" xfId="262" applyFont="1" applyFill="1" applyBorder="1" applyAlignment="1">
      <alignment horizontal="center" vertical="center"/>
    </xf>
    <xf numFmtId="3" fontId="52" fillId="0" borderId="49" xfId="2" applyNumberFormat="1" applyFont="1" applyBorder="1"/>
    <xf numFmtId="0" fontId="52" fillId="0" borderId="0" xfId="2" applyFont="1" applyBorder="1" applyAlignment="1">
      <alignment vertical="center" wrapText="1"/>
    </xf>
    <xf numFmtId="0" fontId="64" fillId="0" borderId="0" xfId="283" applyFont="1" applyBorder="1"/>
    <xf numFmtId="0" fontId="64" fillId="0" borderId="0" xfId="283" applyFont="1"/>
    <xf numFmtId="14" fontId="64" fillId="0" borderId="0" xfId="283" applyNumberFormat="1" applyFont="1"/>
    <xf numFmtId="0" fontId="64" fillId="0" borderId="8" xfId="283" applyFont="1" applyBorder="1"/>
    <xf numFmtId="17" fontId="64" fillId="0" borderId="20" xfId="283" applyNumberFormat="1" applyFont="1" applyFill="1" applyBorder="1"/>
    <xf numFmtId="168" fontId="64" fillId="0" borderId="49" xfId="284" applyNumberFormat="1" applyFont="1" applyFill="1" applyBorder="1"/>
    <xf numFmtId="167" fontId="52" fillId="0" borderId="18" xfId="284" applyNumberFormat="1" applyFont="1" applyBorder="1" applyAlignment="1">
      <alignment horizontal="center"/>
    </xf>
    <xf numFmtId="17" fontId="64" fillId="0" borderId="23" xfId="283" applyNumberFormat="1" applyFont="1" applyFill="1" applyBorder="1"/>
    <xf numFmtId="17" fontId="64" fillId="0" borderId="50" xfId="283" applyNumberFormat="1" applyFont="1" applyFill="1" applyBorder="1"/>
    <xf numFmtId="17" fontId="91" fillId="0" borderId="20" xfId="283" applyNumberFormat="1" applyFont="1" applyFill="1" applyBorder="1"/>
    <xf numFmtId="17" fontId="91" fillId="0" borderId="23" xfId="283" applyNumberFormat="1" applyFont="1" applyFill="1" applyBorder="1"/>
    <xf numFmtId="17" fontId="91" fillId="0" borderId="50" xfId="283" applyNumberFormat="1" applyFont="1" applyFill="1" applyBorder="1"/>
    <xf numFmtId="17" fontId="91" fillId="0" borderId="147" xfId="283" applyNumberFormat="1" applyFont="1" applyFill="1" applyBorder="1"/>
    <xf numFmtId="0" fontId="64" fillId="0" borderId="30" xfId="283" applyFont="1" applyBorder="1"/>
    <xf numFmtId="0" fontId="64" fillId="0" borderId="27" xfId="283" applyFont="1" applyBorder="1"/>
    <xf numFmtId="0" fontId="64" fillId="0" borderId="32" xfId="283" applyFont="1" applyBorder="1"/>
    <xf numFmtId="0" fontId="64" fillId="0" borderId="33" xfId="283" applyFont="1" applyBorder="1"/>
    <xf numFmtId="0" fontId="64" fillId="0" borderId="28" xfId="283" applyFont="1" applyBorder="1"/>
    <xf numFmtId="0" fontId="64" fillId="0" borderId="29" xfId="283" applyFont="1" applyBorder="1"/>
    <xf numFmtId="0" fontId="64" fillId="0" borderId="34" xfId="283" applyFont="1" applyBorder="1"/>
    <xf numFmtId="0" fontId="52" fillId="2" borderId="150" xfId="2" applyFont="1" applyFill="1" applyBorder="1" applyAlignment="1">
      <alignment horizontal="center"/>
    </xf>
    <xf numFmtId="3" fontId="52" fillId="0" borderId="18" xfId="2" applyNumberFormat="1" applyFont="1" applyBorder="1"/>
    <xf numFmtId="3" fontId="52" fillId="0" borderId="22" xfId="2" applyNumberFormat="1" applyFont="1" applyBorder="1"/>
    <xf numFmtId="167" fontId="50" fillId="73" borderId="133" xfId="1" applyNumberFormat="1" applyFont="1" applyFill="1" applyBorder="1"/>
    <xf numFmtId="167" fontId="50" fillId="73" borderId="189" xfId="1" applyNumberFormat="1" applyFont="1" applyFill="1" applyBorder="1"/>
    <xf numFmtId="3" fontId="138" fillId="0" borderId="6" xfId="2" applyNumberFormat="1" applyFont="1" applyBorder="1" applyAlignment="1">
      <alignment vertical="center"/>
    </xf>
    <xf numFmtId="0" fontId="138" fillId="0" borderId="0" xfId="2" applyFont="1"/>
    <xf numFmtId="17" fontId="49" fillId="0" borderId="129" xfId="2" applyNumberFormat="1" applyFont="1" applyBorder="1" applyAlignment="1">
      <alignment horizontal="center" vertical="center"/>
    </xf>
    <xf numFmtId="1" fontId="139" fillId="0" borderId="97" xfId="2" applyNumberFormat="1" applyFont="1" applyBorder="1" applyAlignment="1">
      <alignment horizontal="center" vertical="center"/>
    </xf>
    <xf numFmtId="0" fontId="50" fillId="0" borderId="35" xfId="0" applyFont="1" applyBorder="1"/>
    <xf numFmtId="1" fontId="69" fillId="0" borderId="47" xfId="2" applyNumberFormat="1" applyFont="1" applyBorder="1" applyAlignment="1">
      <alignment horizontal="center" vertical="center"/>
    </xf>
    <xf numFmtId="17" fontId="49" fillId="2" borderId="132" xfId="0" applyNumberFormat="1" applyFont="1" applyFill="1" applyBorder="1" applyAlignment="1">
      <alignment horizontal="center" vertical="center"/>
    </xf>
    <xf numFmtId="166" fontId="65" fillId="0" borderId="0" xfId="0" applyNumberFormat="1" applyFont="1" applyBorder="1"/>
    <xf numFmtId="17" fontId="49" fillId="2" borderId="120" xfId="0" applyNumberFormat="1" applyFont="1" applyFill="1" applyBorder="1" applyAlignment="1">
      <alignment horizontal="center" vertical="center"/>
    </xf>
    <xf numFmtId="17" fontId="49" fillId="2" borderId="123" xfId="0" applyNumberFormat="1" applyFont="1" applyFill="1" applyBorder="1" applyAlignment="1">
      <alignment horizontal="center" vertical="center"/>
    </xf>
    <xf numFmtId="17" fontId="49" fillId="0" borderId="20" xfId="2" applyNumberFormat="1" applyFont="1" applyBorder="1" applyAlignment="1">
      <alignment horizontal="center" vertical="center"/>
    </xf>
    <xf numFmtId="1" fontId="69" fillId="0" borderId="114" xfId="2" applyNumberFormat="1" applyFont="1" applyBorder="1" applyAlignment="1">
      <alignment horizontal="center" vertical="center"/>
    </xf>
    <xf numFmtId="43" fontId="121" fillId="0" borderId="148" xfId="1" applyNumberFormat="1" applyFont="1" applyBorder="1"/>
    <xf numFmtId="43" fontId="121" fillId="0" borderId="135" xfId="1" applyNumberFormat="1" applyFont="1" applyBorder="1"/>
    <xf numFmtId="0" fontId="49" fillId="5" borderId="37" xfId="0" applyFont="1" applyFill="1" applyBorder="1" applyAlignment="1">
      <alignment vertical="center"/>
    </xf>
    <xf numFmtId="0" fontId="49" fillId="5" borderId="0" xfId="0" applyFont="1" applyFill="1" applyBorder="1" applyAlignment="1">
      <alignment vertical="center"/>
    </xf>
    <xf numFmtId="0" fontId="50" fillId="5" borderId="0" xfId="0" applyFont="1" applyFill="1" applyBorder="1"/>
    <xf numFmtId="174" fontId="50" fillId="5" borderId="186" xfId="1" applyNumberFormat="1" applyFont="1" applyFill="1" applyBorder="1"/>
    <xf numFmtId="174" fontId="50" fillId="5" borderId="41" xfId="1" applyNumberFormat="1" applyFont="1" applyFill="1" applyBorder="1"/>
    <xf numFmtId="174" fontId="50" fillId="5" borderId="41" xfId="1" applyNumberFormat="1" applyFont="1" applyFill="1" applyBorder="1" applyAlignment="1">
      <alignment vertical="center"/>
    </xf>
    <xf numFmtId="0" fontId="50" fillId="5" borderId="0" xfId="0" applyFont="1" applyFill="1"/>
    <xf numFmtId="0" fontId="50" fillId="5" borderId="8" xfId="0" applyFont="1" applyFill="1" applyBorder="1"/>
    <xf numFmtId="0" fontId="50" fillId="5" borderId="29" xfId="0" applyFont="1" applyFill="1" applyBorder="1"/>
    <xf numFmtId="3" fontId="124" fillId="5" borderId="148" xfId="6" applyNumberFormat="1" applyFont="1" applyFill="1" applyBorder="1" applyAlignment="1">
      <alignment horizontal="center" vertical="center"/>
    </xf>
    <xf numFmtId="3" fontId="124" fillId="5" borderId="135" xfId="6" applyNumberFormat="1" applyFont="1" applyFill="1" applyBorder="1" applyAlignment="1">
      <alignment horizontal="center" vertical="center"/>
    </xf>
    <xf numFmtId="3" fontId="124" fillId="5" borderId="179" xfId="6" applyNumberFormat="1" applyFont="1" applyFill="1" applyBorder="1" applyAlignment="1">
      <alignment horizontal="center" vertical="center"/>
    </xf>
    <xf numFmtId="0" fontId="131" fillId="2" borderId="116" xfId="0" applyFont="1" applyFill="1" applyBorder="1" applyAlignment="1">
      <alignment horizontal="center" vertical="center" wrapText="1"/>
    </xf>
    <xf numFmtId="0" fontId="131" fillId="2" borderId="39" xfId="0" applyFont="1" applyFill="1" applyBorder="1" applyAlignment="1">
      <alignment horizontal="center" vertical="center" wrapText="1"/>
    </xf>
    <xf numFmtId="0" fontId="131" fillId="2" borderId="108" xfId="0" applyFont="1" applyFill="1" applyBorder="1" applyAlignment="1">
      <alignment horizontal="center" vertical="center" wrapText="1"/>
    </xf>
    <xf numFmtId="0" fontId="131" fillId="2" borderId="102" xfId="0" applyFont="1" applyFill="1" applyBorder="1" applyAlignment="1">
      <alignment horizontal="center" vertical="center" wrapText="1"/>
    </xf>
    <xf numFmtId="0" fontId="131" fillId="2" borderId="180" xfId="0" applyFont="1" applyFill="1" applyBorder="1" applyAlignment="1">
      <alignment horizontal="center" vertical="center" wrapText="1"/>
    </xf>
    <xf numFmtId="10" fontId="35" fillId="5" borderId="148" xfId="263" applyNumberFormat="1" applyFont="1" applyFill="1" applyBorder="1" applyAlignment="1">
      <alignment horizontal="center" vertical="center"/>
    </xf>
    <xf numFmtId="10" fontId="35" fillId="5" borderId="135" xfId="263" applyNumberFormat="1" applyFont="1" applyFill="1" applyBorder="1" applyAlignment="1">
      <alignment horizontal="center" vertical="center"/>
    </xf>
    <xf numFmtId="173" fontId="35" fillId="0" borderId="135" xfId="263" applyNumberFormat="1" applyFont="1" applyBorder="1" applyAlignment="1">
      <alignment horizontal="center" vertical="center"/>
    </xf>
    <xf numFmtId="10" fontId="117" fillId="5" borderId="135" xfId="263" applyNumberFormat="1" applyFont="1" applyFill="1" applyBorder="1" applyAlignment="1">
      <alignment horizontal="center" vertical="center" wrapText="1"/>
    </xf>
    <xf numFmtId="10" fontId="35" fillId="5" borderId="113" xfId="263" applyNumberFormat="1" applyFont="1" applyFill="1" applyBorder="1" applyAlignment="1">
      <alignment horizontal="center" vertical="center"/>
    </xf>
    <xf numFmtId="10" fontId="35" fillId="5" borderId="140" xfId="263" applyNumberFormat="1" applyFont="1" applyFill="1" applyBorder="1" applyAlignment="1">
      <alignment horizontal="center" vertical="center"/>
    </xf>
    <xf numFmtId="173" fontId="35" fillId="0" borderId="140" xfId="263" applyNumberFormat="1" applyFont="1" applyBorder="1" applyAlignment="1">
      <alignment horizontal="center" vertical="center"/>
    </xf>
    <xf numFmtId="10" fontId="117" fillId="5" borderId="140" xfId="263" applyNumberFormat="1" applyFont="1" applyFill="1" applyBorder="1" applyAlignment="1">
      <alignment horizontal="center" vertical="center" wrapText="1"/>
    </xf>
    <xf numFmtId="17" fontId="49" fillId="0" borderId="147" xfId="2" applyNumberFormat="1" applyFont="1" applyBorder="1" applyAlignment="1">
      <alignment horizontal="center" vertical="center"/>
    </xf>
    <xf numFmtId="3" fontId="60" fillId="0" borderId="36" xfId="2" applyNumberFormat="1" applyFont="1" applyFill="1" applyBorder="1" applyAlignment="1">
      <alignment vertical="center"/>
    </xf>
    <xf numFmtId="3" fontId="60" fillId="5" borderId="36" xfId="2" applyNumberFormat="1" applyFont="1" applyFill="1" applyBorder="1" applyAlignment="1">
      <alignment vertical="center"/>
    </xf>
    <xf numFmtId="3" fontId="60" fillId="0" borderId="36" xfId="2" applyNumberFormat="1" applyFont="1" applyBorder="1" applyAlignment="1">
      <alignment vertical="center"/>
    </xf>
    <xf numFmtId="3" fontId="138" fillId="0" borderId="13" xfId="2" applyNumberFormat="1" applyFont="1" applyBorder="1" applyAlignment="1">
      <alignment vertical="center"/>
    </xf>
    <xf numFmtId="3" fontId="138" fillId="0" borderId="12" xfId="2" applyNumberFormat="1" applyFont="1" applyBorder="1" applyAlignment="1">
      <alignment vertical="center"/>
    </xf>
    <xf numFmtId="0" fontId="52" fillId="0" borderId="139" xfId="2" applyFont="1" applyBorder="1" applyAlignment="1">
      <alignment horizontal="left" vertical="center"/>
    </xf>
    <xf numFmtId="0" fontId="52" fillId="0" borderId="143" xfId="2" applyFont="1" applyBorder="1" applyAlignment="1">
      <alignment horizontal="left" vertical="center"/>
    </xf>
    <xf numFmtId="0" fontId="52" fillId="0" borderId="19" xfId="2" applyFont="1" applyBorder="1" applyAlignment="1">
      <alignment horizontal="left" vertical="center"/>
    </xf>
    <xf numFmtId="3" fontId="52" fillId="0" borderId="19" xfId="2" applyNumberFormat="1" applyFont="1" applyBorder="1" applyAlignment="1">
      <alignment vertical="center"/>
    </xf>
    <xf numFmtId="3" fontId="52" fillId="0" borderId="49" xfId="2" applyNumberFormat="1" applyFont="1" applyBorder="1" applyAlignment="1">
      <alignment vertical="center"/>
    </xf>
    <xf numFmtId="3" fontId="52" fillId="0" borderId="18" xfId="2" applyNumberFormat="1" applyFont="1" applyBorder="1" applyAlignment="1">
      <alignment vertical="center"/>
    </xf>
    <xf numFmtId="3" fontId="60" fillId="0" borderId="22" xfId="2" applyNumberFormat="1" applyFont="1" applyBorder="1" applyAlignment="1">
      <alignment vertical="center"/>
    </xf>
    <xf numFmtId="3" fontId="60" fillId="0" borderId="22" xfId="2" applyNumberFormat="1" applyFont="1" applyFill="1" applyBorder="1" applyAlignment="1">
      <alignment vertical="center"/>
    </xf>
    <xf numFmtId="3" fontId="60" fillId="0" borderId="96" xfId="2" applyNumberFormat="1" applyFont="1" applyBorder="1" applyAlignment="1">
      <alignment vertical="center"/>
    </xf>
    <xf numFmtId="0" fontId="52" fillId="0" borderId="124" xfId="2" applyFont="1" applyBorder="1" applyAlignment="1">
      <alignment horizontal="left" vertical="center"/>
    </xf>
    <xf numFmtId="0" fontId="52" fillId="0" borderId="38" xfId="2" applyFont="1" applyBorder="1" applyAlignment="1">
      <alignment horizontal="left" vertical="center"/>
    </xf>
    <xf numFmtId="0" fontId="52" fillId="0" borderId="102" xfId="2" applyFont="1" applyBorder="1" applyAlignment="1">
      <alignment horizontal="left" vertical="center"/>
    </xf>
    <xf numFmtId="1" fontId="52" fillId="0" borderId="39" xfId="2" applyNumberFormat="1" applyFont="1" applyBorder="1" applyAlignment="1">
      <alignment vertical="center"/>
    </xf>
    <xf numFmtId="1" fontId="52" fillId="0" borderId="108" xfId="2" applyNumberFormat="1" applyFont="1" applyBorder="1" applyAlignment="1">
      <alignment vertical="center"/>
    </xf>
    <xf numFmtId="0" fontId="51" fillId="2" borderId="181" xfId="262" applyFont="1" applyFill="1" applyBorder="1" applyAlignment="1">
      <alignment horizontal="center" vertical="center" wrapText="1"/>
    </xf>
    <xf numFmtId="173" fontId="65" fillId="0" borderId="0" xfId="6" applyNumberFormat="1" applyFont="1" applyBorder="1"/>
    <xf numFmtId="10" fontId="49" fillId="0" borderId="0" xfId="1" applyNumberFormat="1" applyFont="1" applyBorder="1"/>
    <xf numFmtId="17" fontId="49" fillId="0" borderId="20" xfId="2" applyNumberFormat="1" applyFont="1" applyBorder="1" applyAlignment="1">
      <alignment vertical="center"/>
    </xf>
    <xf numFmtId="17" fontId="49" fillId="0" borderId="23" xfId="2" applyNumberFormat="1" applyFont="1" applyBorder="1" applyAlignment="1">
      <alignment vertical="center"/>
    </xf>
    <xf numFmtId="0" fontId="143" fillId="0" borderId="0" xfId="0" applyFont="1" applyBorder="1"/>
    <xf numFmtId="0" fontId="143" fillId="0" borderId="0" xfId="0" applyFont="1"/>
    <xf numFmtId="182" fontId="50" fillId="0" borderId="0" xfId="0" applyNumberFormat="1" applyFont="1"/>
    <xf numFmtId="167" fontId="49" fillId="0" borderId="178" xfId="1" applyNumberFormat="1" applyFont="1" applyBorder="1"/>
    <xf numFmtId="167" fontId="49" fillId="0" borderId="47" xfId="1" applyNumberFormat="1" applyFont="1" applyBorder="1"/>
    <xf numFmtId="17" fontId="69" fillId="0" borderId="20" xfId="2" applyNumberFormat="1" applyFont="1" applyBorder="1" applyAlignment="1">
      <alignment horizontal="center" vertical="center"/>
    </xf>
    <xf numFmtId="17" fontId="69" fillId="0" borderId="23" xfId="2" applyNumberFormat="1" applyFont="1" applyBorder="1" applyAlignment="1">
      <alignment horizontal="center" vertical="center"/>
    </xf>
    <xf numFmtId="0" fontId="49" fillId="0" borderId="25" xfId="0" applyFont="1" applyBorder="1"/>
    <xf numFmtId="167" fontId="49" fillId="0" borderId="5" xfId="1" applyNumberFormat="1" applyFont="1" applyBorder="1"/>
    <xf numFmtId="167" fontId="49" fillId="0" borderId="6" xfId="1" applyNumberFormat="1" applyFont="1" applyBorder="1"/>
    <xf numFmtId="167" fontId="49" fillId="0" borderId="7" xfId="1" applyNumberFormat="1" applyFont="1" applyBorder="1"/>
    <xf numFmtId="167" fontId="49" fillId="0" borderId="42" xfId="1" applyNumberFormat="1" applyFont="1" applyBorder="1"/>
    <xf numFmtId="167" fontId="49" fillId="0" borderId="43" xfId="1" applyNumberFormat="1" applyFont="1" applyBorder="1"/>
    <xf numFmtId="167" fontId="49" fillId="0" borderId="10" xfId="1" applyNumberFormat="1" applyFont="1" applyBorder="1"/>
    <xf numFmtId="167" fontId="49" fillId="0" borderId="1" xfId="1" applyNumberFormat="1" applyFont="1" applyBorder="1"/>
    <xf numFmtId="167" fontId="49" fillId="0" borderId="109" xfId="1" applyNumberFormat="1" applyFont="1" applyBorder="1"/>
    <xf numFmtId="167" fontId="49" fillId="0" borderId="110" xfId="1" applyNumberFormat="1" applyFont="1" applyBorder="1"/>
    <xf numFmtId="0" fontId="49" fillId="0" borderId="8" xfId="0" applyFont="1" applyBorder="1"/>
    <xf numFmtId="0" fontId="49" fillId="0" borderId="29" xfId="0" applyFont="1" applyBorder="1"/>
    <xf numFmtId="17" fontId="144" fillId="0" borderId="23" xfId="283" applyNumberFormat="1" applyFont="1" applyFill="1" applyBorder="1"/>
    <xf numFmtId="17" fontId="144" fillId="0" borderId="50" xfId="283" applyNumberFormat="1" applyFont="1" applyFill="1" applyBorder="1"/>
    <xf numFmtId="167" fontId="49" fillId="0" borderId="6" xfId="1" applyNumberFormat="1" applyFont="1" applyBorder="1" applyAlignment="1">
      <alignment horizontal="right" vertical="center" wrapText="1"/>
    </xf>
    <xf numFmtId="167" fontId="49" fillId="0" borderId="49" xfId="1" applyNumberFormat="1" applyFont="1" applyBorder="1" applyAlignment="1">
      <alignment horizontal="right" vertical="center" wrapText="1"/>
    </xf>
    <xf numFmtId="167" fontId="49" fillId="0" borderId="111" xfId="1" applyNumberFormat="1" applyFont="1" applyBorder="1" applyAlignment="1">
      <alignment horizontal="right" vertical="center" wrapText="1"/>
    </xf>
    <xf numFmtId="167" fontId="49" fillId="0" borderId="44" xfId="1" applyNumberFormat="1" applyFont="1" applyBorder="1" applyAlignment="1">
      <alignment horizontal="right" vertical="center" wrapText="1"/>
    </xf>
    <xf numFmtId="167" fontId="49" fillId="0" borderId="154" xfId="1" applyNumberFormat="1" applyFont="1" applyBorder="1" applyAlignment="1">
      <alignment horizontal="right" vertical="center" wrapText="1"/>
    </xf>
    <xf numFmtId="167" fontId="49" fillId="0" borderId="35" xfId="1" applyNumberFormat="1" applyFont="1" applyBorder="1" applyAlignment="1">
      <alignment horizontal="right" vertical="center" wrapText="1"/>
    </xf>
    <xf numFmtId="43" fontId="49" fillId="0" borderId="111" xfId="1" applyFont="1" applyBorder="1" applyAlignment="1">
      <alignment horizontal="right" vertical="center" wrapText="1"/>
    </xf>
    <xf numFmtId="43" fontId="49" fillId="0" borderId="44" xfId="1" applyFont="1" applyBorder="1" applyAlignment="1">
      <alignment horizontal="right" vertical="center" wrapText="1"/>
    </xf>
    <xf numFmtId="43" fontId="49" fillId="0" borderId="154" xfId="1" applyFont="1" applyBorder="1" applyAlignment="1">
      <alignment horizontal="right" vertical="center" wrapText="1"/>
    </xf>
    <xf numFmtId="43" fontId="49" fillId="0" borderId="35" xfId="1" applyFont="1" applyBorder="1" applyAlignment="1">
      <alignment horizontal="right" vertical="center" wrapText="1"/>
    </xf>
    <xf numFmtId="43" fontId="49" fillId="0" borderId="133" xfId="1" applyFont="1" applyBorder="1" applyAlignment="1">
      <alignment vertical="center"/>
    </xf>
    <xf numFmtId="43" fontId="49" fillId="0" borderId="136" xfId="1" applyFont="1" applyBorder="1" applyAlignment="1">
      <alignment vertical="center"/>
    </xf>
    <xf numFmtId="43" fontId="49" fillId="5" borderId="195" xfId="1" applyFont="1" applyFill="1" applyBorder="1" applyAlignment="1">
      <alignment vertical="center"/>
    </xf>
    <xf numFmtId="43" fontId="49" fillId="5" borderId="136" xfId="1" applyFont="1" applyFill="1" applyBorder="1" applyAlignment="1">
      <alignment horizontal="right" vertical="center" wrapText="1"/>
    </xf>
    <xf numFmtId="10" fontId="50" fillId="66" borderId="14" xfId="6" applyNumberFormat="1" applyFont="1" applyFill="1" applyBorder="1"/>
    <xf numFmtId="3" fontId="50" fillId="0" borderId="0" xfId="0" applyNumberFormat="1" applyFont="1"/>
    <xf numFmtId="43" fontId="52" fillId="0" borderId="0" xfId="2" applyNumberFormat="1" applyFont="1"/>
    <xf numFmtId="17" fontId="49" fillId="0" borderId="50" xfId="2" applyNumberFormat="1" applyFont="1" applyBorder="1" applyAlignment="1">
      <alignment vertical="center"/>
    </xf>
    <xf numFmtId="1" fontId="69" fillId="0" borderId="150" xfId="2" applyNumberFormat="1" applyFont="1" applyBorder="1" applyAlignment="1">
      <alignment horizontal="center" vertical="center"/>
    </xf>
    <xf numFmtId="1" fontId="69" fillId="0" borderId="194" xfId="2" applyNumberFormat="1" applyFont="1" applyBorder="1" applyAlignment="1">
      <alignment horizontal="center" vertical="center"/>
    </xf>
    <xf numFmtId="0" fontId="51" fillId="2" borderId="153" xfId="262" applyFont="1" applyFill="1" applyBorder="1" applyAlignment="1">
      <alignment horizontal="center" vertical="center"/>
    </xf>
    <xf numFmtId="173" fontId="117" fillId="5" borderId="148" xfId="263" applyNumberFormat="1" applyFont="1" applyFill="1" applyBorder="1" applyAlignment="1">
      <alignment horizontal="center" vertical="center" wrapText="1"/>
    </xf>
    <xf numFmtId="173" fontId="117" fillId="5" borderId="135" xfId="263" applyNumberFormat="1" applyFont="1" applyFill="1" applyBorder="1" applyAlignment="1">
      <alignment horizontal="center" vertical="center" wrapText="1"/>
    </xf>
    <xf numFmtId="173" fontId="29" fillId="5" borderId="135" xfId="6" applyNumberFormat="1" applyFont="1" applyFill="1" applyBorder="1" applyAlignment="1">
      <alignment horizontal="center" vertical="center"/>
    </xf>
    <xf numFmtId="173" fontId="27" fillId="0" borderId="135" xfId="6" applyNumberFormat="1" applyFont="1" applyBorder="1" applyAlignment="1">
      <alignment horizontal="center" vertical="center"/>
    </xf>
    <xf numFmtId="10" fontId="26" fillId="0" borderId="135" xfId="6" applyNumberFormat="1" applyFont="1" applyBorder="1" applyAlignment="1">
      <alignment horizontal="center" vertical="center"/>
    </xf>
    <xf numFmtId="0" fontId="51" fillId="2" borderId="25" xfId="262" applyFont="1" applyFill="1" applyBorder="1" applyAlignment="1">
      <alignment horizontal="center" vertical="center" wrapText="1"/>
    </xf>
    <xf numFmtId="10" fontId="35" fillId="5" borderId="143" xfId="263" applyNumberFormat="1" applyFont="1" applyFill="1" applyBorder="1" applyAlignment="1">
      <alignment horizontal="center" vertical="center"/>
    </xf>
    <xf numFmtId="10" fontId="35" fillId="5" borderId="37" xfId="263" applyNumberFormat="1" applyFont="1" applyFill="1" applyBorder="1" applyAlignment="1">
      <alignment horizontal="center" vertical="center"/>
    </xf>
    <xf numFmtId="173" fontId="35" fillId="0" borderId="37" xfId="263" applyNumberFormat="1" applyFont="1" applyBorder="1" applyAlignment="1">
      <alignment horizontal="center" vertical="center"/>
    </xf>
    <xf numFmtId="10" fontId="117" fillId="5" borderId="37" xfId="263" applyNumberFormat="1" applyFont="1" applyFill="1" applyBorder="1" applyAlignment="1">
      <alignment horizontal="center" vertical="center" wrapText="1"/>
    </xf>
    <xf numFmtId="173" fontId="117" fillId="5" borderId="143" xfId="263" applyNumberFormat="1" applyFont="1" applyFill="1" applyBorder="1" applyAlignment="1">
      <alignment horizontal="center" vertical="center" wrapText="1"/>
    </xf>
    <xf numFmtId="173" fontId="117" fillId="5" borderId="37" xfId="263" applyNumberFormat="1" applyFont="1" applyFill="1" applyBorder="1" applyAlignment="1">
      <alignment horizontal="center" vertical="center" wrapText="1"/>
    </xf>
    <xf numFmtId="173" fontId="29" fillId="5" borderId="37" xfId="6" applyNumberFormat="1" applyFont="1" applyFill="1" applyBorder="1" applyAlignment="1">
      <alignment horizontal="center" vertical="center"/>
    </xf>
    <xf numFmtId="173" fontId="27" fillId="0" borderId="37" xfId="6" applyNumberFormat="1" applyFont="1" applyBorder="1" applyAlignment="1">
      <alignment horizontal="center" vertical="center"/>
    </xf>
    <xf numFmtId="10" fontId="26" fillId="0" borderId="37" xfId="6" applyNumberFormat="1" applyFont="1" applyBorder="1" applyAlignment="1">
      <alignment horizontal="center" vertical="center"/>
    </xf>
    <xf numFmtId="0" fontId="51" fillId="2" borderId="149" xfId="262" applyFont="1" applyFill="1" applyBorder="1" applyAlignment="1">
      <alignment horizontal="center" vertical="center" wrapText="1"/>
    </xf>
    <xf numFmtId="180" fontId="72" fillId="70" borderId="195" xfId="260" applyNumberFormat="1" applyFont="1" applyFill="1" applyBorder="1" applyAlignment="1">
      <alignment horizontal="center" vertical="center"/>
    </xf>
    <xf numFmtId="17" fontId="69" fillId="0" borderId="147" xfId="2" applyNumberFormat="1" applyFont="1" applyBorder="1" applyAlignment="1">
      <alignment horizontal="center" vertical="center"/>
    </xf>
    <xf numFmtId="17" fontId="69" fillId="0" borderId="119" xfId="2" applyNumberFormat="1" applyFont="1" applyBorder="1" applyAlignment="1">
      <alignment horizontal="center" vertical="center"/>
    </xf>
    <xf numFmtId="43" fontId="50" fillId="5" borderId="41" xfId="1" applyNumberFormat="1" applyFont="1" applyFill="1" applyBorder="1"/>
    <xf numFmtId="43" fontId="50" fillId="0" borderId="10" xfId="1" applyNumberFormat="1" applyFont="1" applyBorder="1"/>
    <xf numFmtId="43" fontId="50" fillId="0" borderId="1" xfId="1" applyNumberFormat="1" applyFont="1" applyBorder="1"/>
    <xf numFmtId="0" fontId="25" fillId="5" borderId="51" xfId="307" applyFill="1" applyBorder="1"/>
    <xf numFmtId="0" fontId="25" fillId="5" borderId="0" xfId="307" applyFill="1" applyBorder="1"/>
    <xf numFmtId="0" fontId="25" fillId="5" borderId="190" xfId="307" applyFill="1" applyBorder="1"/>
    <xf numFmtId="0" fontId="25" fillId="5" borderId="103" xfId="307" applyFill="1" applyBorder="1"/>
    <xf numFmtId="0" fontId="25" fillId="76" borderId="0" xfId="307" applyFill="1"/>
    <xf numFmtId="0" fontId="25" fillId="5" borderId="116" xfId="307" applyFill="1" applyBorder="1"/>
    <xf numFmtId="0" fontId="25" fillId="5" borderId="38" xfId="307" applyFill="1" applyBorder="1"/>
    <xf numFmtId="0" fontId="25" fillId="5" borderId="108" xfId="307" applyFill="1" applyBorder="1"/>
    <xf numFmtId="0" fontId="25" fillId="5" borderId="123" xfId="307" applyFill="1" applyBorder="1"/>
    <xf numFmtId="0" fontId="25" fillId="5" borderId="124" xfId="307" applyFill="1" applyBorder="1"/>
    <xf numFmtId="0" fontId="25" fillId="5" borderId="117" xfId="307" applyFill="1" applyBorder="1"/>
    <xf numFmtId="10" fontId="26" fillId="0" borderId="179" xfId="6" applyNumberFormat="1" applyFont="1" applyBorder="1" applyAlignment="1">
      <alignment horizontal="center" vertical="center"/>
    </xf>
    <xf numFmtId="10" fontId="26" fillId="0" borderId="8" xfId="6" applyNumberFormat="1" applyFont="1" applyBorder="1" applyAlignment="1">
      <alignment horizontal="center" vertical="center"/>
    </xf>
    <xf numFmtId="17" fontId="49" fillId="2" borderId="20" xfId="0" applyNumberFormat="1" applyFont="1" applyFill="1" applyBorder="1" applyAlignment="1">
      <alignment horizontal="left"/>
    </xf>
    <xf numFmtId="17" fontId="49" fillId="2" borderId="24" xfId="0" applyNumberFormat="1" applyFont="1" applyFill="1" applyBorder="1" applyAlignment="1">
      <alignment horizontal="left"/>
    </xf>
    <xf numFmtId="17" fontId="49" fillId="2" borderId="116" xfId="0" applyNumberFormat="1" applyFont="1" applyFill="1" applyBorder="1" applyAlignment="1">
      <alignment horizontal="left"/>
    </xf>
    <xf numFmtId="10" fontId="117" fillId="5" borderId="192" xfId="263" applyNumberFormat="1" applyFont="1" applyFill="1" applyBorder="1" applyAlignment="1">
      <alignment horizontal="center" vertical="center" wrapText="1"/>
    </xf>
    <xf numFmtId="10" fontId="117" fillId="5" borderId="86" xfId="263" applyNumberFormat="1" applyFont="1" applyFill="1" applyBorder="1" applyAlignment="1">
      <alignment horizontal="center" vertical="center" wrapText="1"/>
    </xf>
    <xf numFmtId="10" fontId="117" fillId="5" borderId="144" xfId="263" applyNumberFormat="1" applyFont="1" applyFill="1" applyBorder="1" applyAlignment="1">
      <alignment horizontal="center" vertical="center" wrapText="1"/>
    </xf>
    <xf numFmtId="0" fontId="25" fillId="5" borderId="0" xfId="307" applyFill="1"/>
    <xf numFmtId="0" fontId="0" fillId="5" borderId="0" xfId="0" applyFill="1"/>
    <xf numFmtId="0" fontId="75" fillId="5" borderId="0" xfId="307" applyFont="1" applyFill="1"/>
    <xf numFmtId="17" fontId="144" fillId="2" borderId="50" xfId="283" applyNumberFormat="1" applyFont="1" applyFill="1" applyBorder="1" applyAlignment="1">
      <alignment horizontal="center"/>
    </xf>
    <xf numFmtId="17" fontId="144" fillId="2" borderId="20" xfId="283" applyNumberFormat="1" applyFont="1" applyFill="1" applyBorder="1" applyAlignment="1">
      <alignment horizontal="center"/>
    </xf>
    <xf numFmtId="17" fontId="144" fillId="2" borderId="23" xfId="283" applyNumberFormat="1" applyFont="1" applyFill="1" applyBorder="1" applyAlignment="1">
      <alignment horizontal="center"/>
    </xf>
    <xf numFmtId="0" fontId="24" fillId="5" borderId="0" xfId="307" applyFont="1" applyFill="1"/>
    <xf numFmtId="165" fontId="148" fillId="0" borderId="22" xfId="167" applyFont="1" applyFill="1" applyBorder="1" applyAlignment="1">
      <alignment horizontal="center" vertical="center"/>
    </xf>
    <xf numFmtId="165" fontId="148" fillId="0" borderId="6" xfId="167" applyFont="1" applyFill="1" applyBorder="1" applyAlignment="1">
      <alignment horizontal="center" vertical="center"/>
    </xf>
    <xf numFmtId="165" fontId="148" fillId="0" borderId="21" xfId="167" applyFont="1" applyFill="1" applyBorder="1" applyAlignment="1">
      <alignment horizontal="center" vertical="center"/>
    </xf>
    <xf numFmtId="165" fontId="148" fillId="0" borderId="15" xfId="167" applyFont="1" applyFill="1" applyBorder="1" applyAlignment="1">
      <alignment horizontal="center" vertical="center"/>
    </xf>
    <xf numFmtId="3" fontId="149" fillId="0" borderId="49" xfId="0" applyNumberFormat="1" applyFont="1" applyBorder="1" applyAlignment="1">
      <alignment horizontal="center" vertical="center" readingOrder="1"/>
    </xf>
    <xf numFmtId="3" fontId="122" fillId="5" borderId="49" xfId="0" applyNumberFormat="1" applyFont="1" applyFill="1" applyBorder="1" applyAlignment="1">
      <alignment horizontal="center" vertical="center" readingOrder="1"/>
    </xf>
    <xf numFmtId="3" fontId="149" fillId="0" borderId="6" xfId="0" applyNumberFormat="1" applyFont="1" applyBorder="1" applyAlignment="1">
      <alignment horizontal="center" vertical="center" readingOrder="1"/>
    </xf>
    <xf numFmtId="3" fontId="122" fillId="5" borderId="6" xfId="0" applyNumberFormat="1" applyFont="1" applyFill="1" applyBorder="1" applyAlignment="1">
      <alignment horizontal="center" vertical="center" readingOrder="1"/>
    </xf>
    <xf numFmtId="2" fontId="122" fillId="5" borderId="21" xfId="2" applyNumberFormat="1" applyFont="1" applyFill="1" applyBorder="1" applyAlignment="1">
      <alignment horizontal="left" vertical="center"/>
    </xf>
    <xf numFmtId="3" fontId="50" fillId="0" borderId="22" xfId="0" applyNumberFormat="1" applyFont="1" applyBorder="1"/>
    <xf numFmtId="173" fontId="117" fillId="5" borderId="139" xfId="263" applyNumberFormat="1" applyFont="1" applyFill="1" applyBorder="1" applyAlignment="1">
      <alignment horizontal="center" vertical="center" wrapText="1"/>
    </xf>
    <xf numFmtId="173" fontId="117" fillId="5" borderId="130" xfId="263" applyNumberFormat="1" applyFont="1" applyFill="1" applyBorder="1" applyAlignment="1">
      <alignment horizontal="center" vertical="center" wrapText="1"/>
    </xf>
    <xf numFmtId="173" fontId="29" fillId="5" borderId="130" xfId="6" applyNumberFormat="1" applyFont="1" applyFill="1" applyBorder="1" applyAlignment="1">
      <alignment horizontal="center" vertical="center"/>
    </xf>
    <xf numFmtId="173" fontId="27" fillId="0" borderId="130" xfId="6" applyNumberFormat="1" applyFont="1" applyBorder="1" applyAlignment="1">
      <alignment horizontal="center" vertical="center"/>
    </xf>
    <xf numFmtId="10" fontId="26" fillId="0" borderId="130" xfId="6" applyNumberFormat="1" applyFont="1" applyBorder="1" applyAlignment="1">
      <alignment horizontal="center" vertical="center"/>
    </xf>
    <xf numFmtId="10" fontId="26" fillId="0" borderId="191" xfId="6" applyNumberFormat="1" applyFont="1" applyBorder="1" applyAlignment="1">
      <alignment horizontal="center" vertical="center"/>
    </xf>
    <xf numFmtId="165" fontId="122" fillId="5" borderId="49" xfId="167" applyFont="1" applyFill="1" applyBorder="1" applyAlignment="1">
      <alignment horizontal="right" vertical="center"/>
    </xf>
    <xf numFmtId="165" fontId="148" fillId="0" borderId="18" xfId="167" applyFont="1" applyFill="1" applyBorder="1" applyAlignment="1">
      <alignment horizontal="center" vertical="center"/>
    </xf>
    <xf numFmtId="3" fontId="150" fillId="0" borderId="21" xfId="0" applyNumberFormat="1" applyFont="1" applyBorder="1" applyAlignment="1">
      <alignment horizontal="center" vertical="center" readingOrder="1"/>
    </xf>
    <xf numFmtId="0" fontId="64" fillId="0" borderId="0" xfId="310" applyFont="1" applyBorder="1"/>
    <xf numFmtId="0" fontId="64" fillId="0" borderId="0" xfId="310" applyFont="1"/>
    <xf numFmtId="3" fontId="70" fillId="0" borderId="20" xfId="0" applyNumberFormat="1" applyFont="1" applyBorder="1"/>
    <xf numFmtId="3" fontId="70" fillId="0" borderId="49" xfId="0" applyNumberFormat="1" applyFont="1" applyBorder="1"/>
    <xf numFmtId="3" fontId="70" fillId="0" borderId="18" xfId="0" applyNumberFormat="1" applyFont="1" applyBorder="1"/>
    <xf numFmtId="3" fontId="70" fillId="0" borderId="19" xfId="0" applyNumberFormat="1" applyFont="1" applyBorder="1"/>
    <xf numFmtId="3" fontId="70" fillId="0" borderId="154" xfId="0" applyNumberFormat="1" applyFont="1" applyBorder="1"/>
    <xf numFmtId="0" fontId="64" fillId="0" borderId="30" xfId="310" applyFont="1" applyBorder="1"/>
    <xf numFmtId="0" fontId="64" fillId="0" borderId="27" xfId="310" applyFont="1" applyBorder="1"/>
    <xf numFmtId="0" fontId="64" fillId="0" borderId="8" xfId="310" applyFont="1" applyBorder="1"/>
    <xf numFmtId="0" fontId="64" fillId="0" borderId="28" xfId="310" applyFont="1" applyBorder="1"/>
    <xf numFmtId="0" fontId="64" fillId="0" borderId="29" xfId="310" applyFont="1" applyBorder="1"/>
    <xf numFmtId="14" fontId="64" fillId="0" borderId="0" xfId="310" applyNumberFormat="1" applyFont="1"/>
    <xf numFmtId="0" fontId="52" fillId="0" borderId="72" xfId="2" applyFont="1" applyBorder="1"/>
    <xf numFmtId="3" fontId="52" fillId="0" borderId="6" xfId="2" applyNumberFormat="1" applyFont="1" applyBorder="1" applyAlignment="1">
      <alignment horizontal="center" vertical="center"/>
    </xf>
    <xf numFmtId="3" fontId="91" fillId="0" borderId="6" xfId="310" applyNumberFormat="1" applyFont="1" applyBorder="1" applyAlignment="1">
      <alignment horizontal="center" vertical="center"/>
    </xf>
    <xf numFmtId="3" fontId="70" fillId="0" borderId="5" xfId="0" applyNumberFormat="1" applyFont="1" applyBorder="1" applyAlignment="1">
      <alignment vertical="center"/>
    </xf>
    <xf numFmtId="17" fontId="91" fillId="0" borderId="0" xfId="310" applyNumberFormat="1" applyFont="1" applyFill="1" applyBorder="1"/>
    <xf numFmtId="3" fontId="70" fillId="0" borderId="0" xfId="0" applyNumberFormat="1" applyFont="1" applyBorder="1" applyAlignment="1">
      <alignment vertical="center"/>
    </xf>
    <xf numFmtId="3" fontId="91" fillId="0" borderId="0" xfId="310" applyNumberFormat="1" applyFont="1" applyBorder="1" applyAlignment="1">
      <alignment horizontal="center" vertical="center"/>
    </xf>
    <xf numFmtId="3" fontId="52" fillId="5" borderId="0" xfId="2" applyNumberFormat="1" applyFont="1" applyFill="1" applyBorder="1" applyAlignment="1">
      <alignment horizontal="center" vertical="center"/>
    </xf>
    <xf numFmtId="3" fontId="70" fillId="5" borderId="0" xfId="0" applyNumberFormat="1" applyFont="1" applyFill="1" applyBorder="1"/>
    <xf numFmtId="9" fontId="52" fillId="0" borderId="0" xfId="6" applyFont="1"/>
    <xf numFmtId="3" fontId="91" fillId="0" borderId="22" xfId="310" applyNumberFormat="1" applyFont="1" applyBorder="1" applyAlignment="1">
      <alignment horizontal="center" vertical="center"/>
    </xf>
    <xf numFmtId="3" fontId="52" fillId="0" borderId="5" xfId="2" applyNumberFormat="1" applyFont="1" applyBorder="1" applyAlignment="1">
      <alignment horizontal="center" vertical="center"/>
    </xf>
    <xf numFmtId="43" fontId="116" fillId="5" borderId="20" xfId="1" applyFont="1" applyFill="1" applyBorder="1" applyAlignment="1">
      <alignment horizontal="center" vertical="center"/>
    </xf>
    <xf numFmtId="43" fontId="116" fillId="5" borderId="24" xfId="1" applyFont="1" applyFill="1" applyBorder="1" applyAlignment="1">
      <alignment horizontal="center" vertical="center"/>
    </xf>
    <xf numFmtId="43" fontId="116" fillId="5" borderId="23" xfId="1" applyFont="1" applyFill="1" applyBorder="1" applyAlignment="1">
      <alignment horizontal="center" vertical="center"/>
    </xf>
    <xf numFmtId="43" fontId="116" fillId="5" borderId="17" xfId="1" applyFont="1" applyFill="1" applyBorder="1" applyAlignment="1">
      <alignment horizontal="center" vertical="center"/>
    </xf>
    <xf numFmtId="17" fontId="69" fillId="0" borderId="50" xfId="2" applyNumberFormat="1" applyFont="1" applyBorder="1" applyAlignment="1">
      <alignment horizontal="center" vertical="center"/>
    </xf>
    <xf numFmtId="1" fontId="69" fillId="0" borderId="44" xfId="2" applyNumberFormat="1" applyFont="1" applyBorder="1" applyAlignment="1">
      <alignment horizontal="center" vertical="center"/>
    </xf>
    <xf numFmtId="169" fontId="69" fillId="0" borderId="47" xfId="2" applyNumberFormat="1" applyFont="1" applyBorder="1" applyAlignment="1">
      <alignment vertical="center"/>
    </xf>
    <xf numFmtId="1" fontId="139" fillId="0" borderId="114" xfId="2" applyNumberFormat="1" applyFont="1" applyBorder="1" applyAlignment="1">
      <alignment horizontal="center" vertical="center"/>
    </xf>
    <xf numFmtId="0" fontId="153" fillId="0" borderId="0" xfId="0" applyFont="1" applyBorder="1" applyAlignment="1">
      <alignment horizontal="center" vertical="center"/>
    </xf>
    <xf numFmtId="0" fontId="153" fillId="0" borderId="0" xfId="0" applyFont="1" applyBorder="1" applyAlignment="1">
      <alignment horizontal="center" vertical="center" wrapText="1"/>
    </xf>
    <xf numFmtId="4" fontId="153" fillId="0" borderId="0" xfId="0" applyNumberFormat="1" applyFont="1" applyBorder="1" applyAlignment="1">
      <alignment horizontal="center" vertical="center" wrapText="1"/>
    </xf>
    <xf numFmtId="0" fontId="154" fillId="10" borderId="20" xfId="0" applyFont="1" applyFill="1" applyBorder="1" applyAlignment="1">
      <alignment horizontal="center" vertical="center" wrapText="1"/>
    </xf>
    <xf numFmtId="0" fontId="154" fillId="10" borderId="49" xfId="0" applyFont="1" applyFill="1" applyBorder="1" applyAlignment="1">
      <alignment horizontal="center" vertical="center" wrapText="1"/>
    </xf>
    <xf numFmtId="0" fontId="154" fillId="10" borderId="18" xfId="0" applyFont="1" applyFill="1" applyBorder="1" applyAlignment="1">
      <alignment horizontal="center" vertical="center" wrapText="1"/>
    </xf>
    <xf numFmtId="0" fontId="155" fillId="0" borderId="0" xfId="0" applyFont="1"/>
    <xf numFmtId="17" fontId="156" fillId="0" borderId="23" xfId="0" applyNumberFormat="1" applyFont="1" applyBorder="1" applyAlignment="1">
      <alignment horizontal="left" vertical="center" wrapText="1"/>
    </xf>
    <xf numFmtId="0" fontId="155" fillId="0" borderId="6" xfId="0" applyFont="1" applyFill="1" applyBorder="1" applyAlignment="1">
      <alignment horizontal="center"/>
    </xf>
    <xf numFmtId="0" fontId="155" fillId="0" borderId="6" xfId="0" applyFont="1" applyFill="1" applyBorder="1"/>
    <xf numFmtId="0" fontId="155" fillId="0" borderId="6" xfId="0" applyFont="1" applyBorder="1"/>
    <xf numFmtId="4" fontId="155" fillId="0" borderId="6" xfId="0" applyNumberFormat="1" applyFont="1" applyFill="1" applyBorder="1" applyAlignment="1">
      <alignment horizontal="right"/>
    </xf>
    <xf numFmtId="0" fontId="155" fillId="0" borderId="7" xfId="0" applyFont="1" applyFill="1" applyBorder="1" applyAlignment="1">
      <alignment horizontal="center"/>
    </xf>
    <xf numFmtId="4" fontId="155" fillId="0" borderId="7" xfId="0" applyNumberFormat="1" applyFont="1" applyFill="1" applyBorder="1" applyAlignment="1">
      <alignment horizontal="right"/>
    </xf>
    <xf numFmtId="0" fontId="155" fillId="0" borderId="7" xfId="0" applyFont="1" applyFill="1" applyBorder="1"/>
    <xf numFmtId="0" fontId="155" fillId="0" borderId="7" xfId="0" applyFont="1" applyBorder="1"/>
    <xf numFmtId="17" fontId="156" fillId="0" borderId="14" xfId="0" applyNumberFormat="1" applyFont="1" applyBorder="1" applyAlignment="1">
      <alignment horizontal="left" vertical="center" wrapText="1"/>
    </xf>
    <xf numFmtId="0" fontId="158" fillId="0" borderId="13" xfId="0" applyFont="1" applyBorder="1"/>
    <xf numFmtId="4" fontId="158" fillId="0" borderId="13" xfId="0" applyNumberFormat="1" applyFont="1" applyFill="1" applyBorder="1" applyAlignment="1">
      <alignment horizontal="right"/>
    </xf>
    <xf numFmtId="2" fontId="155" fillId="0" borderId="22" xfId="0" applyNumberFormat="1" applyFont="1" applyBorder="1"/>
    <xf numFmtId="0" fontId="160" fillId="0" borderId="22" xfId="0" applyFont="1" applyFill="1" applyBorder="1" applyAlignment="1">
      <alignment horizontal="center" vertical="center" wrapText="1"/>
    </xf>
    <xf numFmtId="2" fontId="158" fillId="0" borderId="12" xfId="0" applyNumberFormat="1" applyFont="1" applyBorder="1"/>
    <xf numFmtId="174" fontId="50" fillId="0" borderId="167" xfId="1" applyNumberFormat="1" applyFont="1" applyBorder="1"/>
    <xf numFmtId="174" fontId="50" fillId="0" borderId="22" xfId="1" applyNumberFormat="1" applyFont="1" applyBorder="1"/>
    <xf numFmtId="167" fontId="50" fillId="3" borderId="22" xfId="1" applyNumberFormat="1" applyFont="1" applyFill="1" applyBorder="1"/>
    <xf numFmtId="0" fontId="49" fillId="10" borderId="20" xfId="0" applyFont="1" applyFill="1" applyBorder="1" applyAlignment="1">
      <alignment horizontal="center" vertical="center"/>
    </xf>
    <xf numFmtId="0" fontId="49" fillId="10" borderId="49" xfId="0" applyFont="1" applyFill="1" applyBorder="1" applyAlignment="1">
      <alignment horizontal="center" vertical="center"/>
    </xf>
    <xf numFmtId="0" fontId="49" fillId="10" borderId="18" xfId="0" applyFont="1" applyFill="1" applyBorder="1" applyAlignment="1">
      <alignment horizontal="center" vertical="center"/>
    </xf>
    <xf numFmtId="43" fontId="50" fillId="0" borderId="205" xfId="1" applyNumberFormat="1" applyFont="1" applyBorder="1"/>
    <xf numFmtId="43" fontId="50" fillId="0" borderId="206" xfId="1" applyNumberFormat="1" applyFont="1" applyBorder="1"/>
    <xf numFmtId="43" fontId="50" fillId="0" borderId="206" xfId="1" applyNumberFormat="1" applyFont="1" applyBorder="1" applyAlignment="1">
      <alignment vertical="center"/>
    </xf>
    <xf numFmtId="43" fontId="49" fillId="5" borderId="6" xfId="1" applyFont="1" applyFill="1" applyBorder="1" applyAlignment="1">
      <alignment horizontal="right" vertical="center" wrapText="1"/>
    </xf>
    <xf numFmtId="0" fontId="50" fillId="0" borderId="19" xfId="0" applyFont="1" applyBorder="1"/>
    <xf numFmtId="0" fontId="50" fillId="0" borderId="154" xfId="0" applyFont="1" applyBorder="1"/>
    <xf numFmtId="3" fontId="52" fillId="0" borderId="7" xfId="2" applyNumberFormat="1" applyFont="1" applyBorder="1" applyAlignment="1">
      <alignment horizontal="center" vertical="center"/>
    </xf>
    <xf numFmtId="3" fontId="52" fillId="0" borderId="49" xfId="2" applyNumberFormat="1" applyFont="1" applyBorder="1" applyAlignment="1">
      <alignment horizontal="center" vertical="center"/>
    </xf>
    <xf numFmtId="3" fontId="70" fillId="0" borderId="50" xfId="0" applyNumberFormat="1" applyFont="1" applyBorder="1" applyAlignment="1">
      <alignment vertical="center"/>
    </xf>
    <xf numFmtId="10" fontId="22" fillId="0" borderId="191" xfId="6" applyNumberFormat="1" applyFont="1" applyBorder="1" applyAlignment="1">
      <alignment horizontal="center" vertical="center"/>
    </xf>
    <xf numFmtId="10" fontId="117" fillId="5" borderId="135" xfId="6" applyNumberFormat="1" applyFont="1" applyFill="1" applyBorder="1" applyAlignment="1">
      <alignment horizontal="center" vertical="center" wrapText="1"/>
    </xf>
    <xf numFmtId="10" fontId="117" fillId="5" borderId="37" xfId="6" applyNumberFormat="1" applyFont="1" applyFill="1" applyBorder="1" applyAlignment="1">
      <alignment horizontal="center" vertical="center" wrapText="1"/>
    </xf>
    <xf numFmtId="17" fontId="163" fillId="2" borderId="148" xfId="0" applyNumberFormat="1" applyFont="1" applyFill="1" applyBorder="1" applyAlignment="1">
      <alignment horizontal="center"/>
    </xf>
    <xf numFmtId="17" fontId="163" fillId="2" borderId="188" xfId="0" applyNumberFormat="1" applyFont="1" applyFill="1" applyBorder="1" applyAlignment="1">
      <alignment horizontal="center"/>
    </xf>
    <xf numFmtId="43" fontId="52" fillId="0" borderId="49" xfId="284" applyNumberFormat="1" applyFont="1" applyBorder="1" applyAlignment="1"/>
    <xf numFmtId="43" fontId="70" fillId="0" borderId="6" xfId="0" applyNumberFormat="1" applyFont="1" applyBorder="1"/>
    <xf numFmtId="43" fontId="70" fillId="0" borderId="6" xfId="0" applyNumberFormat="1" applyFont="1" applyBorder="1" applyAlignment="1">
      <alignment vertical="center"/>
    </xf>
    <xf numFmtId="43" fontId="70" fillId="0" borderId="7" xfId="0" applyNumberFormat="1" applyFont="1" applyBorder="1" applyAlignment="1">
      <alignment vertical="center"/>
    </xf>
    <xf numFmtId="43" fontId="70" fillId="0" borderId="49" xfId="0" applyNumberFormat="1" applyFont="1" applyBorder="1" applyAlignment="1">
      <alignment vertical="center"/>
    </xf>
    <xf numFmtId="43" fontId="70" fillId="0" borderId="150" xfId="0" applyNumberFormat="1" applyFont="1" applyBorder="1" applyAlignment="1">
      <alignment vertical="center"/>
    </xf>
    <xf numFmtId="170" fontId="53" fillId="5" borderId="49" xfId="0" applyNumberFormat="1" applyFont="1" applyFill="1" applyBorder="1" applyAlignment="1">
      <alignment vertical="center"/>
    </xf>
    <xf numFmtId="43" fontId="53" fillId="5" borderId="49" xfId="0" applyNumberFormat="1" applyFont="1" applyFill="1" applyBorder="1" applyAlignment="1">
      <alignment vertical="center"/>
    </xf>
    <xf numFmtId="43" fontId="53" fillId="5" borderId="6" xfId="0" applyNumberFormat="1" applyFont="1" applyFill="1" applyBorder="1" applyAlignment="1">
      <alignment vertical="center"/>
    </xf>
    <xf numFmtId="170" fontId="53" fillId="5" borderId="6" xfId="0" applyNumberFormat="1" applyFont="1" applyFill="1" applyBorder="1" applyAlignment="1">
      <alignment vertical="center"/>
    </xf>
    <xf numFmtId="43" fontId="53" fillId="5" borderId="7" xfId="0" applyNumberFormat="1" applyFont="1" applyFill="1" applyBorder="1" applyAlignment="1">
      <alignment vertical="center"/>
    </xf>
    <xf numFmtId="170" fontId="53" fillId="5" borderId="7" xfId="0" applyNumberFormat="1" applyFont="1" applyFill="1" applyBorder="1" applyAlignment="1">
      <alignment vertical="center"/>
    </xf>
    <xf numFmtId="0" fontId="52" fillId="0" borderId="0" xfId="283" applyFont="1" applyBorder="1"/>
    <xf numFmtId="0" fontId="52" fillId="0" borderId="0" xfId="283" applyFont="1"/>
    <xf numFmtId="43" fontId="53" fillId="5" borderId="150" xfId="0" applyNumberFormat="1" applyFont="1" applyFill="1" applyBorder="1" applyAlignment="1">
      <alignment vertical="center"/>
    </xf>
    <xf numFmtId="0" fontId="64" fillId="0" borderId="0" xfId="311" applyFont="1" applyBorder="1"/>
    <xf numFmtId="0" fontId="64" fillId="0" borderId="0" xfId="311" applyFont="1"/>
    <xf numFmtId="0" fontId="64" fillId="0" borderId="30" xfId="311" applyFont="1" applyBorder="1"/>
    <xf numFmtId="0" fontId="64" fillId="0" borderId="27" xfId="311" applyFont="1" applyBorder="1"/>
    <xf numFmtId="0" fontId="64" fillId="0" borderId="8" xfId="311" applyFont="1" applyBorder="1"/>
    <xf numFmtId="0" fontId="64" fillId="0" borderId="32" xfId="311" applyFont="1" applyBorder="1"/>
    <xf numFmtId="0" fontId="64" fillId="0" borderId="33" xfId="311" applyFont="1" applyBorder="1"/>
    <xf numFmtId="0" fontId="64" fillId="0" borderId="28" xfId="311" applyFont="1" applyBorder="1"/>
    <xf numFmtId="0" fontId="64" fillId="0" borderId="29" xfId="311" applyFont="1" applyBorder="1"/>
    <xf numFmtId="0" fontId="64" fillId="0" borderId="34" xfId="311" applyFont="1" applyBorder="1"/>
    <xf numFmtId="0" fontId="155" fillId="5" borderId="7" xfId="0" applyFont="1" applyFill="1" applyBorder="1" applyAlignment="1">
      <alignment horizontal="center"/>
    </xf>
    <xf numFmtId="4" fontId="155" fillId="5" borderId="7" xfId="0" applyNumberFormat="1" applyFont="1" applyFill="1" applyBorder="1" applyAlignment="1">
      <alignment horizontal="right"/>
    </xf>
    <xf numFmtId="0" fontId="155" fillId="5" borderId="7" xfId="0" applyFont="1" applyFill="1" applyBorder="1"/>
    <xf numFmtId="43" fontId="49" fillId="5" borderId="49" xfId="1" applyFont="1" applyFill="1" applyBorder="1" applyAlignment="1">
      <alignment horizontal="right" vertical="center" wrapText="1"/>
    </xf>
    <xf numFmtId="43" fontId="49" fillId="5" borderId="7" xfId="1" applyFont="1" applyFill="1" applyBorder="1" applyAlignment="1">
      <alignment horizontal="right" vertical="center" wrapText="1"/>
    </xf>
    <xf numFmtId="167" fontId="49" fillId="0" borderId="7" xfId="1" applyNumberFormat="1" applyFont="1" applyBorder="1" applyAlignment="1">
      <alignment horizontal="right" vertical="center" wrapText="1"/>
    </xf>
    <xf numFmtId="167" fontId="49" fillId="0" borderId="27" xfId="1" applyNumberFormat="1" applyFont="1" applyBorder="1" applyAlignment="1">
      <alignment horizontal="right" vertical="center" wrapText="1"/>
    </xf>
    <xf numFmtId="43" fontId="49" fillId="0" borderId="27" xfId="1" applyFont="1" applyBorder="1" applyAlignment="1">
      <alignment horizontal="right" vertical="center" wrapText="1"/>
    </xf>
    <xf numFmtId="3" fontId="52" fillId="0" borderId="0" xfId="2" applyNumberFormat="1" applyFont="1" applyBorder="1"/>
    <xf numFmtId="10" fontId="52" fillId="0" borderId="0" xfId="6" applyNumberFormat="1" applyFont="1" applyBorder="1"/>
    <xf numFmtId="2" fontId="20" fillId="0" borderId="6" xfId="313" applyNumberFormat="1" applyFill="1" applyBorder="1"/>
    <xf numFmtId="2" fontId="50" fillId="0" borderId="0" xfId="0" applyNumberFormat="1" applyFont="1" applyBorder="1"/>
    <xf numFmtId="2" fontId="50" fillId="5" borderId="0" xfId="0" applyNumberFormat="1" applyFont="1" applyFill="1" applyBorder="1"/>
    <xf numFmtId="43" fontId="50" fillId="0" borderId="0" xfId="0" applyNumberFormat="1" applyFont="1"/>
    <xf numFmtId="3" fontId="91" fillId="0" borderId="148" xfId="310" applyNumberFormat="1" applyFont="1" applyBorder="1" applyAlignment="1">
      <alignment horizontal="center" vertical="center"/>
    </xf>
    <xf numFmtId="3" fontId="91" fillId="0" borderId="135" xfId="310" applyNumberFormat="1" applyFont="1" applyBorder="1" applyAlignment="1">
      <alignment horizontal="center" vertical="center"/>
    </xf>
    <xf numFmtId="17" fontId="144" fillId="2" borderId="147" xfId="283" applyNumberFormat="1" applyFont="1" applyFill="1" applyBorder="1" applyAlignment="1">
      <alignment horizontal="center"/>
    </xf>
    <xf numFmtId="170" fontId="53" fillId="5" borderId="150" xfId="0" applyNumberFormat="1" applyFont="1" applyFill="1" applyBorder="1" applyAlignment="1">
      <alignment vertical="center"/>
    </xf>
    <xf numFmtId="0" fontId="52" fillId="5" borderId="0" xfId="2" applyFont="1" applyFill="1" applyBorder="1" applyAlignment="1">
      <alignment horizontal="center"/>
    </xf>
    <xf numFmtId="0" fontId="145" fillId="0" borderId="0" xfId="351" applyFont="1" applyBorder="1"/>
    <xf numFmtId="0" fontId="146" fillId="0" borderId="0" xfId="351" applyFont="1" applyBorder="1"/>
    <xf numFmtId="0" fontId="18" fillId="0" borderId="0" xfId="353"/>
    <xf numFmtId="0" fontId="51" fillId="2" borderId="148" xfId="353" applyFont="1" applyFill="1" applyBorder="1" applyAlignment="1">
      <alignment horizontal="left" vertical="center"/>
    </xf>
    <xf numFmtId="0" fontId="116" fillId="2" borderId="22" xfId="353" applyFont="1" applyFill="1" applyBorder="1" applyAlignment="1">
      <alignment horizontal="center" vertical="center" wrapText="1"/>
    </xf>
    <xf numFmtId="0" fontId="51" fillId="2" borderId="135" xfId="353" applyFont="1" applyFill="1" applyBorder="1" applyAlignment="1">
      <alignment horizontal="left" vertical="center"/>
    </xf>
    <xf numFmtId="0" fontId="51" fillId="2" borderId="192" xfId="353" applyFont="1" applyFill="1" applyBorder="1" applyAlignment="1">
      <alignment horizontal="left" vertical="center"/>
    </xf>
    <xf numFmtId="0" fontId="140" fillId="0" borderId="0" xfId="353" applyFont="1" applyFill="1" applyBorder="1" applyAlignment="1">
      <alignment horizontal="left" vertical="center" wrapText="1"/>
    </xf>
    <xf numFmtId="0" fontId="18" fillId="5" borderId="0" xfId="353" applyFill="1"/>
    <xf numFmtId="0" fontId="137" fillId="0" borderId="0" xfId="353" applyFont="1"/>
    <xf numFmtId="17" fontId="89" fillId="0" borderId="6" xfId="357" applyNumberFormat="1" applyFont="1" applyBorder="1" applyAlignment="1">
      <alignment horizontal="center"/>
    </xf>
    <xf numFmtId="4" fontId="89" fillId="9" borderId="5" xfId="357" applyNumberFormat="1" applyFont="1" applyFill="1" applyBorder="1"/>
    <xf numFmtId="0" fontId="89" fillId="0" borderId="0" xfId="357" applyFont="1" applyFill="1" applyBorder="1"/>
    <xf numFmtId="4" fontId="89" fillId="9" borderId="6" xfId="357" applyNumberFormat="1" applyFont="1" applyFill="1" applyBorder="1"/>
    <xf numFmtId="0" fontId="89" fillId="5" borderId="0" xfId="357" applyFont="1" applyFill="1" applyBorder="1" applyAlignment="1"/>
    <xf numFmtId="10" fontId="75" fillId="0" borderId="0" xfId="357" applyNumberFormat="1" applyFont="1"/>
    <xf numFmtId="0" fontId="89" fillId="0" borderId="0" xfId="357" applyFont="1"/>
    <xf numFmtId="17" fontId="163" fillId="2" borderId="193" xfId="0" applyNumberFormat="1" applyFont="1" applyFill="1" applyBorder="1" applyAlignment="1">
      <alignment horizontal="center"/>
    </xf>
    <xf numFmtId="10" fontId="26" fillId="0" borderId="152" xfId="6" applyNumberFormat="1" applyFont="1" applyBorder="1" applyAlignment="1">
      <alignment horizontal="center" vertical="center"/>
    </xf>
    <xf numFmtId="10" fontId="26" fillId="0" borderId="192" xfId="6" applyNumberFormat="1" applyFont="1" applyBorder="1" applyAlignment="1">
      <alignment horizontal="center" vertical="center"/>
    </xf>
    <xf numFmtId="10" fontId="26" fillId="0" borderId="86" xfId="6" applyNumberFormat="1" applyFont="1" applyBorder="1" applyAlignment="1">
      <alignment horizontal="center" vertical="center"/>
    </xf>
    <xf numFmtId="0" fontId="157" fillId="0" borderId="0" xfId="0" applyFont="1"/>
    <xf numFmtId="17" fontId="50" fillId="0" borderId="0" xfId="0" applyNumberFormat="1" applyFont="1" applyBorder="1"/>
    <xf numFmtId="43" fontId="116" fillId="5" borderId="113" xfId="1" applyFont="1" applyFill="1" applyBorder="1" applyAlignment="1">
      <alignment horizontal="center" vertical="center"/>
    </xf>
    <xf numFmtId="43" fontId="116" fillId="5" borderId="106" xfId="1" applyFont="1" applyFill="1" applyBorder="1" applyAlignment="1">
      <alignment horizontal="center" vertical="center"/>
    </xf>
    <xf numFmtId="43" fontId="116" fillId="5" borderId="140" xfId="1" applyFont="1" applyFill="1" applyBorder="1" applyAlignment="1">
      <alignment horizontal="center" vertical="center"/>
    </xf>
    <xf numFmtId="43" fontId="116" fillId="5" borderId="144" xfId="1" applyFont="1" applyFill="1" applyBorder="1" applyAlignment="1">
      <alignment horizontal="center" vertical="center"/>
    </xf>
    <xf numFmtId="43" fontId="49" fillId="5" borderId="18" xfId="1" applyFont="1" applyFill="1" applyBorder="1" applyAlignment="1">
      <alignment horizontal="right" vertical="center" wrapText="1"/>
    </xf>
    <xf numFmtId="43" fontId="49" fillId="5" borderId="22" xfId="1" applyFont="1" applyFill="1" applyBorder="1" applyAlignment="1">
      <alignment horizontal="right" vertical="center" wrapText="1"/>
    </xf>
    <xf numFmtId="43" fontId="49" fillId="0" borderId="146" xfId="1" applyFont="1" applyBorder="1" applyAlignment="1">
      <alignment horizontal="right" vertical="center" wrapText="1"/>
    </xf>
    <xf numFmtId="43" fontId="49" fillId="0" borderId="119" xfId="1" applyFont="1" applyBorder="1" applyAlignment="1">
      <alignment horizontal="right" vertical="center" wrapText="1"/>
    </xf>
    <xf numFmtId="43" fontId="49" fillId="0" borderId="20" xfId="1" applyFont="1" applyBorder="1" applyAlignment="1">
      <alignment horizontal="right" vertical="center" wrapText="1"/>
    </xf>
    <xf numFmtId="43" fontId="49" fillId="0" borderId="23" xfId="1" applyFont="1" applyBorder="1" applyAlignment="1">
      <alignment horizontal="right" vertical="center" wrapText="1"/>
    </xf>
    <xf numFmtId="43" fontId="49" fillId="0" borderId="50" xfId="1" applyFont="1" applyBorder="1" applyAlignment="1">
      <alignment horizontal="right" vertical="center" wrapText="1"/>
    </xf>
    <xf numFmtId="0" fontId="52" fillId="71" borderId="181" xfId="2" applyFont="1" applyFill="1" applyBorder="1" applyAlignment="1">
      <alignment horizontal="center" vertical="center" wrapText="1"/>
    </xf>
    <xf numFmtId="3" fontId="125" fillId="5" borderId="143" xfId="6" applyNumberFormat="1" applyFont="1" applyFill="1" applyBorder="1" applyAlignment="1">
      <alignment horizontal="center" vertical="center"/>
    </xf>
    <xf numFmtId="3" fontId="125" fillId="5" borderId="37" xfId="6" applyNumberFormat="1" applyFont="1" applyFill="1" applyBorder="1" applyAlignment="1">
      <alignment horizontal="center" vertical="center"/>
    </xf>
    <xf numFmtId="3" fontId="126" fillId="5" borderId="37" xfId="6" applyNumberFormat="1" applyFont="1" applyFill="1" applyBorder="1" applyAlignment="1">
      <alignment horizontal="center" vertical="center"/>
    </xf>
    <xf numFmtId="3" fontId="135" fillId="5" borderId="37" xfId="6" applyNumberFormat="1" applyFont="1" applyFill="1" applyBorder="1" applyAlignment="1">
      <alignment horizontal="center" vertical="center" wrapText="1"/>
    </xf>
    <xf numFmtId="3" fontId="126" fillId="0" borderId="37" xfId="6" applyNumberFormat="1" applyFont="1" applyBorder="1" applyAlignment="1">
      <alignment horizontal="center" vertical="center"/>
    </xf>
    <xf numFmtId="3" fontId="126" fillId="5" borderId="37" xfId="356" applyNumberFormat="1" applyFont="1" applyFill="1" applyBorder="1" applyAlignment="1">
      <alignment horizontal="center" vertical="center"/>
    </xf>
    <xf numFmtId="3" fontId="126" fillId="5" borderId="8" xfId="356" applyNumberFormat="1" applyFont="1" applyFill="1" applyBorder="1" applyAlignment="1">
      <alignment horizontal="center" vertical="center"/>
    </xf>
    <xf numFmtId="3" fontId="125" fillId="5" borderId="148" xfId="6" applyNumberFormat="1" applyFont="1" applyFill="1" applyBorder="1" applyAlignment="1">
      <alignment horizontal="center" vertical="center"/>
    </xf>
    <xf numFmtId="3" fontId="125" fillId="5" borderId="135" xfId="6" applyNumberFormat="1" applyFont="1" applyFill="1" applyBorder="1" applyAlignment="1">
      <alignment horizontal="center" vertical="center"/>
    </xf>
    <xf numFmtId="3" fontId="126" fillId="5" borderId="135" xfId="6" applyNumberFormat="1" applyFont="1" applyFill="1" applyBorder="1" applyAlignment="1">
      <alignment horizontal="center" vertical="center"/>
    </xf>
    <xf numFmtId="3" fontId="135" fillId="5" borderId="135" xfId="6" applyNumberFormat="1" applyFont="1" applyFill="1" applyBorder="1" applyAlignment="1">
      <alignment horizontal="center" vertical="center" wrapText="1"/>
    </xf>
    <xf numFmtId="3" fontId="126" fillId="0" borderId="135" xfId="6" applyNumberFormat="1" applyFont="1" applyBorder="1" applyAlignment="1">
      <alignment horizontal="center" vertical="center"/>
    </xf>
    <xf numFmtId="3" fontId="126" fillId="5" borderId="135" xfId="356" applyNumberFormat="1" applyFont="1" applyFill="1" applyBorder="1" applyAlignment="1">
      <alignment horizontal="center" vertical="center"/>
    </xf>
    <xf numFmtId="3" fontId="126" fillId="5" borderId="179" xfId="356" applyNumberFormat="1" applyFont="1" applyFill="1" applyBorder="1" applyAlignment="1">
      <alignment horizontal="center" vertical="center"/>
    </xf>
    <xf numFmtId="4" fontId="125" fillId="5" borderId="143" xfId="356" applyNumberFormat="1" applyFont="1" applyFill="1" applyBorder="1" applyAlignment="1">
      <alignment horizontal="right" vertical="center"/>
    </xf>
    <xf numFmtId="4" fontId="125" fillId="5" borderId="37" xfId="356" applyNumberFormat="1" applyFont="1" applyFill="1" applyBorder="1" applyAlignment="1">
      <alignment horizontal="right" vertical="center"/>
    </xf>
    <xf numFmtId="4" fontId="141" fillId="5" borderId="37" xfId="356" applyNumberFormat="1" applyFont="1" applyFill="1" applyBorder="1" applyAlignment="1">
      <alignment horizontal="right" vertical="center"/>
    </xf>
    <xf numFmtId="4" fontId="141" fillId="5" borderId="37" xfId="6" applyNumberFormat="1" applyFont="1" applyFill="1" applyBorder="1" applyAlignment="1">
      <alignment horizontal="right" vertical="center"/>
    </xf>
    <xf numFmtId="4" fontId="142" fillId="5" borderId="37" xfId="356" applyNumberFormat="1" applyFont="1" applyFill="1" applyBorder="1" applyAlignment="1">
      <alignment horizontal="right" vertical="center" wrapText="1"/>
    </xf>
    <xf numFmtId="4" fontId="141" fillId="5" borderId="8" xfId="356" applyNumberFormat="1" applyFont="1" applyFill="1" applyBorder="1" applyAlignment="1">
      <alignment horizontal="right" vertical="center"/>
    </xf>
    <xf numFmtId="4" fontId="141" fillId="5" borderId="140" xfId="356" applyNumberFormat="1" applyFont="1" applyFill="1" applyBorder="1" applyAlignment="1">
      <alignment horizontal="right" vertical="center"/>
    </xf>
    <xf numFmtId="4" fontId="141" fillId="5" borderId="196" xfId="356" applyNumberFormat="1" applyFont="1" applyFill="1" applyBorder="1" applyAlignment="1">
      <alignment horizontal="right" vertical="center"/>
    </xf>
    <xf numFmtId="4" fontId="141" fillId="5" borderId="195" xfId="356" applyNumberFormat="1" applyFont="1" applyFill="1" applyBorder="1" applyAlignment="1">
      <alignment horizontal="right" vertical="center"/>
    </xf>
    <xf numFmtId="4" fontId="141" fillId="5" borderId="179" xfId="356" applyNumberFormat="1" applyFont="1" applyFill="1" applyBorder="1" applyAlignment="1">
      <alignment horizontal="right" vertical="center"/>
    </xf>
    <xf numFmtId="4" fontId="141" fillId="5" borderId="135" xfId="356" applyNumberFormat="1" applyFont="1" applyFill="1" applyBorder="1" applyAlignment="1">
      <alignment horizontal="right" vertical="center"/>
    </xf>
    <xf numFmtId="10" fontId="26" fillId="0" borderId="120" xfId="6" applyNumberFormat="1" applyFont="1" applyBorder="1" applyAlignment="1">
      <alignment horizontal="center" vertical="center"/>
    </xf>
    <xf numFmtId="10" fontId="26" fillId="0" borderId="195" xfId="6" applyNumberFormat="1" applyFont="1" applyBorder="1" applyAlignment="1">
      <alignment horizontal="center" vertical="center"/>
    </xf>
    <xf numFmtId="10" fontId="26" fillId="0" borderId="121" xfId="6" applyNumberFormat="1" applyFont="1" applyBorder="1" applyAlignment="1">
      <alignment horizontal="center" vertical="center"/>
    </xf>
    <xf numFmtId="3" fontId="70" fillId="0" borderId="150" xfId="0" applyNumberFormat="1" applyFont="1" applyBorder="1" applyAlignment="1">
      <alignment vertical="center"/>
    </xf>
    <xf numFmtId="17" fontId="91" fillId="0" borderId="183" xfId="310" applyNumberFormat="1" applyFont="1" applyFill="1" applyBorder="1"/>
    <xf numFmtId="17" fontId="91" fillId="0" borderId="130" xfId="310" applyNumberFormat="1" applyFont="1" applyFill="1" applyBorder="1"/>
    <xf numFmtId="17" fontId="91" fillId="0" borderId="191" xfId="310" applyNumberFormat="1" applyFont="1" applyFill="1" applyBorder="1"/>
    <xf numFmtId="0" fontId="50" fillId="0" borderId="155" xfId="0" applyFont="1" applyBorder="1"/>
    <xf numFmtId="3" fontId="70" fillId="0" borderId="24" xfId="0" applyNumberFormat="1" applyFont="1" applyBorder="1" applyAlignment="1">
      <alignment vertical="center"/>
    </xf>
    <xf numFmtId="3" fontId="70" fillId="0" borderId="167" xfId="0" applyNumberFormat="1" applyFont="1" applyBorder="1" applyAlignment="1">
      <alignment vertical="center"/>
    </xf>
    <xf numFmtId="3" fontId="70" fillId="0" borderId="22" xfId="0" applyNumberFormat="1" applyFont="1" applyBorder="1" applyAlignment="1">
      <alignment vertical="center"/>
    </xf>
    <xf numFmtId="3" fontId="70" fillId="0" borderId="96" xfId="0" applyNumberFormat="1" applyFont="1" applyBorder="1" applyAlignment="1">
      <alignment vertical="center"/>
    </xf>
    <xf numFmtId="3" fontId="70" fillId="0" borderId="18" xfId="0" applyNumberFormat="1" applyFont="1" applyBorder="1" applyAlignment="1">
      <alignment vertical="center"/>
    </xf>
    <xf numFmtId="3" fontId="70" fillId="0" borderId="147" xfId="0" applyNumberFormat="1" applyFont="1" applyBorder="1" applyAlignment="1">
      <alignment vertical="center"/>
    </xf>
    <xf numFmtId="0" fontId="50" fillId="5" borderId="23" xfId="0" applyFont="1" applyFill="1" applyBorder="1"/>
    <xf numFmtId="0" fontId="50" fillId="5" borderId="20" xfId="0" applyFont="1" applyFill="1" applyBorder="1"/>
    <xf numFmtId="0" fontId="157" fillId="0" borderId="123" xfId="0" applyFont="1" applyBorder="1" applyAlignment="1">
      <alignment horizontal="left" vertical="top" wrapText="1"/>
    </xf>
    <xf numFmtId="0" fontId="157" fillId="0" borderId="0" xfId="0" applyFont="1" applyBorder="1" applyAlignment="1">
      <alignment horizontal="left" vertical="top" wrapText="1"/>
    </xf>
    <xf numFmtId="0" fontId="0" fillId="0" borderId="0" xfId="0" applyBorder="1"/>
    <xf numFmtId="0" fontId="157" fillId="0" borderId="33" xfId="0" applyFont="1" applyFill="1" applyBorder="1"/>
    <xf numFmtId="0" fontId="157" fillId="0" borderId="0" xfId="0" applyFont="1" applyFill="1"/>
    <xf numFmtId="0" fontId="157" fillId="0" borderId="0" xfId="0" applyFont="1" applyFill="1" applyBorder="1"/>
    <xf numFmtId="0" fontId="167" fillId="0" borderId="0" xfId="0" applyFont="1" applyFill="1" applyBorder="1" applyAlignment="1">
      <alignment horizontal="center"/>
    </xf>
    <xf numFmtId="0" fontId="52" fillId="71" borderId="25" xfId="2" applyFont="1" applyFill="1" applyBorder="1" applyAlignment="1">
      <alignment horizontal="center" vertical="center" wrapText="1"/>
    </xf>
    <xf numFmtId="0" fontId="52" fillId="2" borderId="153" xfId="2" applyFont="1" applyFill="1" applyBorder="1" applyAlignment="1">
      <alignment horizontal="center" vertical="center" wrapText="1"/>
    </xf>
    <xf numFmtId="0" fontId="52" fillId="2" borderId="181" xfId="2" applyFont="1" applyFill="1" applyBorder="1" applyAlignment="1">
      <alignment horizontal="center" vertical="center" wrapText="1"/>
    </xf>
    <xf numFmtId="3" fontId="91" fillId="0" borderId="179" xfId="310" applyNumberFormat="1" applyFont="1" applyBorder="1" applyAlignment="1">
      <alignment horizontal="center" vertical="center"/>
    </xf>
    <xf numFmtId="0" fontId="50" fillId="0" borderId="147" xfId="0" applyFont="1" applyBorder="1"/>
    <xf numFmtId="0" fontId="50" fillId="0" borderId="150" xfId="0" applyFont="1" applyBorder="1"/>
    <xf numFmtId="0" fontId="50" fillId="0" borderId="194" xfId="0" applyFont="1" applyBorder="1"/>
    <xf numFmtId="0" fontId="50" fillId="0" borderId="151" xfId="0" applyFont="1" applyBorder="1"/>
    <xf numFmtId="0" fontId="50" fillId="0" borderId="0" xfId="0" applyFont="1" applyBorder="1" applyAlignment="1">
      <alignment wrapText="1"/>
    </xf>
    <xf numFmtId="9" fontId="50" fillId="0" borderId="0" xfId="6" applyFont="1" applyBorder="1"/>
    <xf numFmtId="0" fontId="63" fillId="10" borderId="14" xfId="0" applyFont="1" applyFill="1" applyBorder="1" applyAlignment="1">
      <alignment horizontal="center" vertical="center" wrapText="1"/>
    </xf>
    <xf numFmtId="0" fontId="63" fillId="10" borderId="12" xfId="0" applyFont="1" applyFill="1" applyBorder="1" applyAlignment="1">
      <alignment horizontal="center" vertical="center"/>
    </xf>
    <xf numFmtId="0" fontId="63" fillId="0" borderId="39" xfId="0" applyFont="1" applyFill="1" applyBorder="1" applyAlignment="1">
      <alignment horizontal="center" vertical="center" wrapText="1"/>
    </xf>
    <xf numFmtId="0" fontId="63" fillId="10" borderId="39" xfId="0" applyFont="1" applyFill="1" applyBorder="1" applyAlignment="1">
      <alignment horizontal="center" vertical="center" wrapText="1"/>
    </xf>
    <xf numFmtId="0" fontId="63" fillId="0" borderId="180" xfId="0" applyFont="1" applyFill="1" applyBorder="1" applyAlignment="1">
      <alignment horizontal="center" vertical="center" wrapText="1"/>
    </xf>
    <xf numFmtId="0" fontId="63" fillId="10" borderId="180" xfId="0" applyFont="1" applyFill="1" applyBorder="1" applyAlignment="1">
      <alignment horizontal="center" vertical="center" wrapText="1"/>
    </xf>
    <xf numFmtId="17" fontId="50" fillId="0" borderId="135" xfId="0" applyNumberFormat="1" applyFont="1" applyBorder="1" applyAlignment="1">
      <alignment horizontal="center"/>
    </xf>
    <xf numFmtId="10" fontId="65" fillId="0" borderId="0" xfId="6" applyNumberFormat="1" applyFont="1" applyBorder="1"/>
    <xf numFmtId="167" fontId="49" fillId="0" borderId="36" xfId="1" applyNumberFormat="1" applyFont="1" applyBorder="1" applyAlignment="1">
      <alignment horizontal="right" vertical="center" wrapText="1"/>
    </xf>
    <xf numFmtId="43" fontId="49" fillId="0" borderId="51" xfId="1" applyFont="1" applyBorder="1" applyAlignment="1">
      <alignment horizontal="right" vertical="center" wrapText="1"/>
    </xf>
    <xf numFmtId="43" fontId="49" fillId="0" borderId="36" xfId="1" applyFont="1" applyBorder="1" applyAlignment="1">
      <alignment horizontal="right" vertical="center" wrapText="1"/>
    </xf>
    <xf numFmtId="0" fontId="60" fillId="0" borderId="6" xfId="2" applyFont="1" applyFill="1" applyBorder="1"/>
    <xf numFmtId="3" fontId="138" fillId="0" borderId="107" xfId="2" applyNumberFormat="1" applyFont="1" applyBorder="1" applyAlignment="1">
      <alignment vertical="center"/>
    </xf>
    <xf numFmtId="0" fontId="60" fillId="0" borderId="7" xfId="2" applyFont="1" applyFill="1" applyBorder="1"/>
    <xf numFmtId="167" fontId="53" fillId="0" borderId="6" xfId="1" applyNumberFormat="1" applyFont="1" applyFill="1" applyBorder="1" applyAlignment="1">
      <alignment vertical="center"/>
    </xf>
    <xf numFmtId="0" fontId="168" fillId="0" borderId="0" xfId="0" applyFont="1" applyBorder="1" applyAlignment="1">
      <alignment horizontal="left"/>
    </xf>
    <xf numFmtId="0" fontId="157" fillId="0" borderId="38" xfId="0" applyFont="1" applyFill="1" applyBorder="1"/>
    <xf numFmtId="0" fontId="157" fillId="0" borderId="29" xfId="0" applyFont="1" applyBorder="1"/>
    <xf numFmtId="0" fontId="0" fillId="0" borderId="120" xfId="0" applyBorder="1"/>
    <xf numFmtId="0" fontId="0" fillId="0" borderId="123" xfId="0" applyBorder="1"/>
    <xf numFmtId="0" fontId="51" fillId="70" borderId="147" xfId="262" applyFont="1" applyFill="1" applyBorder="1" applyAlignment="1">
      <alignment horizontal="center" vertical="center" wrapText="1"/>
    </xf>
    <xf numFmtId="180" fontId="72" fillId="70" borderId="150" xfId="260" applyNumberFormat="1" applyFont="1" applyFill="1" applyBorder="1" applyAlignment="1">
      <alignment horizontal="center" vertical="center"/>
    </xf>
    <xf numFmtId="180" fontId="72" fillId="70" borderId="151" xfId="260" applyNumberFormat="1" applyFont="1" applyFill="1" applyBorder="1" applyAlignment="1">
      <alignment horizontal="center" vertical="center"/>
    </xf>
    <xf numFmtId="180" fontId="72" fillId="70" borderId="122" xfId="260" applyNumberFormat="1" applyFont="1" applyFill="1" applyBorder="1" applyAlignment="1">
      <alignment horizontal="center" vertical="center"/>
    </xf>
    <xf numFmtId="0" fontId="50" fillId="0" borderId="0" xfId="0" applyFont="1" applyBorder="1" applyAlignment="1"/>
    <xf numFmtId="43" fontId="50" fillId="5" borderId="10" xfId="1" applyNumberFormat="1" applyFont="1" applyFill="1" applyBorder="1"/>
    <xf numFmtId="43" fontId="50" fillId="0" borderId="109" xfId="1" applyNumberFormat="1" applyFont="1" applyBorder="1"/>
    <xf numFmtId="167" fontId="49" fillId="0" borderId="41" xfId="1" applyNumberFormat="1" applyFont="1" applyBorder="1"/>
    <xf numFmtId="167" fontId="49" fillId="0" borderId="168" xfId="1" applyNumberFormat="1" applyFont="1" applyBorder="1"/>
    <xf numFmtId="167" fontId="49" fillId="73" borderId="97" xfId="1" applyNumberFormat="1" applyFont="1" applyFill="1" applyBorder="1"/>
    <xf numFmtId="0" fontId="63" fillId="10" borderId="14" xfId="0" applyFont="1" applyFill="1" applyBorder="1" applyAlignment="1">
      <alignment horizontal="center" vertical="center"/>
    </xf>
    <xf numFmtId="0" fontId="63" fillId="10" borderId="13" xfId="0" applyFont="1" applyFill="1" applyBorder="1" applyAlignment="1">
      <alignment horizontal="center" vertical="center"/>
    </xf>
    <xf numFmtId="17" fontId="63" fillId="2" borderId="147" xfId="0" applyNumberFormat="1" applyFont="1" applyFill="1" applyBorder="1" applyAlignment="1">
      <alignment horizontal="center"/>
    </xf>
    <xf numFmtId="167" fontId="66" fillId="0" borderId="110" xfId="1" applyNumberFormat="1" applyFont="1" applyBorder="1"/>
    <xf numFmtId="167" fontId="66" fillId="0" borderId="109" xfId="1" applyNumberFormat="1" applyFont="1" applyBorder="1"/>
    <xf numFmtId="167" fontId="66" fillId="0" borderId="148" xfId="1" applyNumberFormat="1" applyFont="1" applyBorder="1"/>
    <xf numFmtId="17" fontId="63" fillId="2" borderId="119" xfId="0" applyNumberFormat="1" applyFont="1" applyFill="1" applyBorder="1" applyAlignment="1">
      <alignment horizontal="center"/>
    </xf>
    <xf numFmtId="167" fontId="66" fillId="0" borderId="1" xfId="1" applyNumberFormat="1" applyFont="1" applyBorder="1"/>
    <xf numFmtId="167" fontId="66" fillId="0" borderId="10" xfId="1" applyNumberFormat="1" applyFont="1" applyBorder="1"/>
    <xf numFmtId="167" fontId="66" fillId="0" borderId="135" xfId="1" applyNumberFormat="1" applyFont="1" applyBorder="1"/>
    <xf numFmtId="167" fontId="66" fillId="0" borderId="178" xfId="1" applyNumberFormat="1" applyFont="1" applyBorder="1"/>
    <xf numFmtId="167" fontId="66" fillId="0" borderId="47" xfId="1" applyNumberFormat="1" applyFont="1" applyBorder="1"/>
    <xf numFmtId="167" fontId="66" fillId="0" borderId="115" xfId="1" applyNumberFormat="1" applyFont="1" applyBorder="1"/>
    <xf numFmtId="167" fontId="66" fillId="0" borderId="97" xfId="1" applyNumberFormat="1" applyFont="1" applyBorder="1"/>
    <xf numFmtId="167" fontId="66" fillId="73" borderId="114" xfId="1" applyNumberFormat="1" applyFont="1" applyFill="1" applyBorder="1"/>
    <xf numFmtId="0" fontId="161" fillId="0" borderId="130" xfId="0" applyFont="1" applyFill="1" applyBorder="1" applyAlignment="1"/>
    <xf numFmtId="0" fontId="161" fillId="0" borderId="37" xfId="0" applyFont="1" applyFill="1" applyBorder="1" applyAlignment="1"/>
    <xf numFmtId="0" fontId="161" fillId="0" borderId="140" xfId="0" applyFont="1" applyFill="1" applyBorder="1" applyAlignment="1"/>
    <xf numFmtId="43" fontId="50" fillId="5" borderId="47" xfId="1" applyNumberFormat="1" applyFont="1" applyFill="1" applyBorder="1" applyAlignment="1">
      <alignment vertical="center"/>
    </xf>
    <xf numFmtId="0" fontId="52" fillId="0" borderId="0" xfId="2" applyFont="1" applyBorder="1" applyAlignment="1">
      <alignment horizontal="left"/>
    </xf>
    <xf numFmtId="0" fontId="50" fillId="2" borderId="143" xfId="0" applyFont="1" applyFill="1" applyBorder="1" applyAlignment="1">
      <alignment horizontal="centerContinuous"/>
    </xf>
    <xf numFmtId="0" fontId="50" fillId="2" borderId="19" xfId="0" applyFont="1" applyFill="1" applyBorder="1" applyAlignment="1">
      <alignment horizontal="centerContinuous"/>
    </xf>
    <xf numFmtId="0" fontId="49" fillId="2" borderId="151" xfId="0" applyFont="1" applyFill="1" applyBorder="1" applyAlignment="1">
      <alignment horizontal="centerContinuous"/>
    </xf>
    <xf numFmtId="0" fontId="49" fillId="2" borderId="121" xfId="0" applyFont="1" applyFill="1" applyBorder="1" applyAlignment="1">
      <alignment horizontal="centerContinuous"/>
    </xf>
    <xf numFmtId="0" fontId="49" fillId="10" borderId="144" xfId="0" applyFont="1" applyFill="1" applyBorder="1" applyAlignment="1">
      <alignment horizontal="center"/>
    </xf>
    <xf numFmtId="17" fontId="49" fillId="2" borderId="24" xfId="0" applyNumberFormat="1" applyFont="1" applyFill="1" applyBorder="1" applyAlignment="1">
      <alignment horizontal="center"/>
    </xf>
    <xf numFmtId="10" fontId="50" fillId="0" borderId="167" xfId="6" applyNumberFormat="1" applyFont="1" applyBorder="1"/>
    <xf numFmtId="17" fontId="49" fillId="2" borderId="23" xfId="0" applyNumberFormat="1" applyFont="1" applyFill="1" applyBorder="1" applyAlignment="1">
      <alignment horizontal="center"/>
    </xf>
    <xf numFmtId="10" fontId="50" fillId="0" borderId="103" xfId="6" applyNumberFormat="1" applyFont="1" applyBorder="1"/>
    <xf numFmtId="17" fontId="49" fillId="2" borderId="50" xfId="0" applyNumberFormat="1" applyFont="1" applyFill="1" applyBorder="1" applyAlignment="1">
      <alignment horizontal="center"/>
    </xf>
    <xf numFmtId="17" fontId="49" fillId="2" borderId="216" xfId="0" applyNumberFormat="1" applyFont="1" applyFill="1" applyBorder="1" applyAlignment="1">
      <alignment horizontal="center"/>
    </xf>
    <xf numFmtId="10" fontId="50" fillId="0" borderId="217" xfId="6" applyNumberFormat="1" applyFont="1" applyBorder="1"/>
    <xf numFmtId="10" fontId="50" fillId="0" borderId="97" xfId="6" applyNumberFormat="1" applyFont="1" applyBorder="1"/>
    <xf numFmtId="10" fontId="50" fillId="0" borderId="114" xfId="6" applyNumberFormat="1" applyFont="1" applyBorder="1"/>
    <xf numFmtId="0" fontId="89" fillId="66" borderId="6" xfId="285" applyFont="1" applyFill="1" applyBorder="1" applyAlignment="1">
      <alignment horizontal="center"/>
    </xf>
    <xf numFmtId="0" fontId="89" fillId="69" borderId="6" xfId="285" applyFont="1" applyFill="1" applyBorder="1"/>
    <xf numFmtId="17" fontId="115" fillId="2" borderId="188" xfId="0" applyNumberFormat="1" applyFont="1" applyFill="1" applyBorder="1" applyAlignment="1">
      <alignment horizontal="center"/>
    </xf>
    <xf numFmtId="17" fontId="115" fillId="2" borderId="148" xfId="0" applyNumberFormat="1" applyFont="1" applyFill="1" applyBorder="1" applyAlignment="1">
      <alignment horizontal="center"/>
    </xf>
    <xf numFmtId="0" fontId="49" fillId="2" borderId="22" xfId="0" applyFont="1" applyFill="1" applyBorder="1" applyAlignment="1">
      <alignment horizontal="centerContinuous" vertical="center" wrapText="1"/>
    </xf>
    <xf numFmtId="0" fontId="50" fillId="0" borderId="123" xfId="0" applyFont="1" applyBorder="1"/>
    <xf numFmtId="0" fontId="50" fillId="0" borderId="103" xfId="0" applyFont="1" applyBorder="1"/>
    <xf numFmtId="17" fontId="115" fillId="2" borderId="135" xfId="0" applyNumberFormat="1" applyFont="1" applyFill="1" applyBorder="1" applyAlignment="1">
      <alignment horizontal="center"/>
    </xf>
    <xf numFmtId="13" fontId="50" fillId="5" borderId="0" xfId="0" applyNumberFormat="1" applyFont="1" applyFill="1" applyBorder="1"/>
    <xf numFmtId="0" fontId="122" fillId="0" borderId="49" xfId="354" applyFont="1" applyFill="1" applyBorder="1" applyAlignment="1">
      <alignment horizontal="center"/>
    </xf>
    <xf numFmtId="0" fontId="122" fillId="0" borderId="6" xfId="354" applyFont="1" applyFill="1" applyBorder="1" applyAlignment="1">
      <alignment horizontal="center"/>
    </xf>
    <xf numFmtId="10" fontId="108" fillId="0" borderId="191" xfId="6" applyNumberFormat="1" applyFont="1" applyBorder="1" applyAlignment="1">
      <alignment horizontal="center" vertical="center"/>
    </xf>
    <xf numFmtId="2" fontId="64" fillId="0" borderId="0" xfId="283" applyNumberFormat="1" applyFont="1" applyBorder="1"/>
    <xf numFmtId="10" fontId="52" fillId="0" borderId="61" xfId="6" applyNumberFormat="1" applyFont="1" applyBorder="1"/>
    <xf numFmtId="0" fontId="52" fillId="2" borderId="36" xfId="2" applyFont="1" applyFill="1" applyBorder="1" applyAlignment="1">
      <alignment horizontal="center"/>
    </xf>
    <xf numFmtId="0" fontId="52" fillId="2" borderId="70" xfId="2" applyFont="1" applyFill="1" applyBorder="1" applyAlignment="1">
      <alignment horizontal="center"/>
    </xf>
    <xf numFmtId="0" fontId="52" fillId="0" borderId="218" xfId="2" applyFont="1" applyBorder="1" applyAlignment="1">
      <alignment horizontal="left" vertical="center" wrapText="1"/>
    </xf>
    <xf numFmtId="0" fontId="52" fillId="0" borderId="218" xfId="2" applyFont="1" applyFill="1" applyBorder="1" applyAlignment="1">
      <alignment horizontal="left" vertical="center" wrapText="1"/>
    </xf>
    <xf numFmtId="167" fontId="50" fillId="0" borderId="0" xfId="0" applyNumberFormat="1" applyFont="1"/>
    <xf numFmtId="186" fontId="50" fillId="0" borderId="0" xfId="0" applyNumberFormat="1" applyFont="1" applyBorder="1"/>
    <xf numFmtId="0" fontId="173" fillId="0" borderId="0" xfId="0" applyFont="1"/>
    <xf numFmtId="0" fontId="174" fillId="0" borderId="0" xfId="0" applyFont="1" applyBorder="1"/>
    <xf numFmtId="185" fontId="50" fillId="0" borderId="0" xfId="0" applyNumberFormat="1" applyFont="1" applyBorder="1"/>
    <xf numFmtId="186" fontId="122" fillId="0" borderId="0" xfId="0" applyNumberFormat="1" applyFont="1"/>
    <xf numFmtId="187" fontId="122" fillId="0" borderId="0" xfId="0" applyNumberFormat="1" applyFont="1"/>
    <xf numFmtId="43" fontId="121" fillId="0" borderId="0" xfId="0" applyNumberFormat="1" applyFont="1" applyBorder="1"/>
    <xf numFmtId="0" fontId="121" fillId="0" borderId="0" xfId="0" applyFont="1" applyBorder="1"/>
    <xf numFmtId="43" fontId="174" fillId="0" borderId="0" xfId="0" applyNumberFormat="1" applyFont="1" applyBorder="1"/>
    <xf numFmtId="4" fontId="157" fillId="0" borderId="0" xfId="0" applyNumberFormat="1" applyFont="1"/>
    <xf numFmtId="168" fontId="49" fillId="0" borderId="0" xfId="0" applyNumberFormat="1" applyFont="1" applyAlignment="1">
      <alignment vertical="center"/>
    </xf>
    <xf numFmtId="43" fontId="49" fillId="0" borderId="0" xfId="0" applyNumberFormat="1" applyFont="1" applyBorder="1" applyAlignment="1">
      <alignment vertical="center"/>
    </xf>
    <xf numFmtId="43" fontId="49" fillId="0" borderId="37" xfId="0" applyNumberFormat="1" applyFont="1" applyBorder="1" applyAlignment="1">
      <alignment vertical="center"/>
    </xf>
    <xf numFmtId="43" fontId="143" fillId="0" borderId="0" xfId="0" applyNumberFormat="1" applyFont="1" applyBorder="1"/>
    <xf numFmtId="43" fontId="50" fillId="5" borderId="2" xfId="1" applyNumberFormat="1" applyFont="1" applyFill="1" applyBorder="1"/>
    <xf numFmtId="43" fontId="50" fillId="5" borderId="1" xfId="1" applyNumberFormat="1" applyFont="1" applyFill="1" applyBorder="1"/>
    <xf numFmtId="43" fontId="157" fillId="0" borderId="0" xfId="0" applyNumberFormat="1" applyFont="1"/>
    <xf numFmtId="43" fontId="52" fillId="0" borderId="0" xfId="7" applyNumberFormat="1" applyFont="1" applyFill="1" applyBorder="1" applyAlignment="1">
      <alignment horizontal="center"/>
    </xf>
    <xf numFmtId="0" fontId="159" fillId="8" borderId="31" xfId="0" applyFont="1" applyFill="1" applyBorder="1" applyAlignment="1">
      <alignment horizontal="left" vertical="center" wrapText="1"/>
    </xf>
    <xf numFmtId="0" fontId="52" fillId="0" borderId="6" xfId="2" applyFont="1" applyFill="1" applyBorder="1" applyAlignment="1">
      <alignment vertical="center"/>
    </xf>
    <xf numFmtId="3" fontId="52" fillId="0" borderId="6" xfId="2" applyNumberFormat="1" applyFont="1" applyFill="1" applyBorder="1" applyAlignment="1">
      <alignment horizontal="right" vertical="center" wrapText="1"/>
    </xf>
    <xf numFmtId="10" fontId="52" fillId="0" borderId="6" xfId="2" applyNumberFormat="1" applyFont="1" applyFill="1" applyBorder="1" applyAlignment="1">
      <alignment horizontal="right" vertical="center" wrapText="1"/>
    </xf>
    <xf numFmtId="0" fontId="159" fillId="8" borderId="130" xfId="0" applyFont="1" applyFill="1" applyBorder="1" applyAlignment="1">
      <alignment vertical="center" wrapText="1"/>
    </xf>
    <xf numFmtId="0" fontId="159" fillId="8" borderId="37" xfId="0" applyFont="1" applyFill="1" applyBorder="1" applyAlignment="1">
      <alignment vertical="center" wrapText="1"/>
    </xf>
    <xf numFmtId="0" fontId="171" fillId="10" borderId="7" xfId="0" applyFont="1" applyFill="1" applyBorder="1" applyAlignment="1">
      <alignment horizontal="center" vertical="center"/>
    </xf>
    <xf numFmtId="0" fontId="175" fillId="5" borderId="6" xfId="0" applyNumberFormat="1" applyFont="1" applyFill="1" applyBorder="1" applyAlignment="1">
      <alignment horizontal="right" vertical="center" wrapText="1"/>
    </xf>
    <xf numFmtId="43" fontId="49" fillId="5" borderId="21" xfId="1" applyFont="1" applyFill="1" applyBorder="1" applyAlignment="1">
      <alignment horizontal="right" vertical="center" wrapText="1"/>
    </xf>
    <xf numFmtId="17" fontId="49" fillId="2" borderId="136" xfId="0" applyNumberFormat="1" applyFont="1" applyFill="1" applyBorder="1" applyAlignment="1">
      <alignment horizontal="center"/>
    </xf>
    <xf numFmtId="174" fontId="50" fillId="0" borderId="212" xfId="1" applyNumberFormat="1" applyFont="1" applyBorder="1"/>
    <xf numFmtId="174" fontId="50" fillId="5" borderId="44" xfId="1" applyNumberFormat="1" applyFont="1" applyFill="1" applyBorder="1"/>
    <xf numFmtId="174" fontId="50" fillId="0" borderId="47" xfId="1" applyNumberFormat="1" applyFont="1" applyBorder="1"/>
    <xf numFmtId="174" fontId="50" fillId="0" borderId="178" xfId="1" applyNumberFormat="1" applyFont="1" applyBorder="1"/>
    <xf numFmtId="174" fontId="50" fillId="0" borderId="44" xfId="1" applyNumberFormat="1" applyFont="1" applyBorder="1"/>
    <xf numFmtId="174" fontId="50" fillId="0" borderId="96" xfId="1" applyNumberFormat="1" applyFont="1" applyBorder="1"/>
    <xf numFmtId="10" fontId="50" fillId="6" borderId="114" xfId="6" applyNumberFormat="1" applyFont="1" applyFill="1" applyBorder="1"/>
    <xf numFmtId="43" fontId="50" fillId="5" borderId="185" xfId="1" applyNumberFormat="1" applyFont="1" applyFill="1" applyBorder="1"/>
    <xf numFmtId="17" fontId="49" fillId="2" borderId="133" xfId="0" applyNumberFormat="1" applyFont="1" applyFill="1" applyBorder="1" applyAlignment="1">
      <alignment horizontal="center"/>
    </xf>
    <xf numFmtId="43" fontId="50" fillId="5" borderId="219" xfId="1" applyNumberFormat="1" applyFont="1" applyFill="1" applyBorder="1"/>
    <xf numFmtId="43" fontId="50" fillId="5" borderId="111" xfId="1" applyNumberFormat="1" applyFont="1" applyFill="1" applyBorder="1"/>
    <xf numFmtId="43" fontId="50" fillId="5" borderId="109" xfId="1" applyNumberFormat="1" applyFont="1" applyFill="1" applyBorder="1"/>
    <xf numFmtId="43" fontId="50" fillId="5" borderId="110" xfId="1" applyNumberFormat="1" applyFont="1" applyFill="1" applyBorder="1"/>
    <xf numFmtId="43" fontId="50" fillId="0" borderId="110" xfId="1" applyNumberFormat="1" applyFont="1" applyBorder="1"/>
    <xf numFmtId="167" fontId="50" fillId="5" borderId="6" xfId="1" applyNumberFormat="1" applyFont="1" applyFill="1" applyBorder="1"/>
    <xf numFmtId="167" fontId="50" fillId="5" borderId="6" xfId="1" applyNumberFormat="1" applyFont="1" applyFill="1" applyBorder="1" applyAlignment="1">
      <alignment vertical="center"/>
    </xf>
    <xf numFmtId="167" fontId="50" fillId="5" borderId="6" xfId="1" applyNumberFormat="1" applyFont="1" applyFill="1" applyBorder="1" applyAlignment="1">
      <alignment horizontal="center"/>
    </xf>
    <xf numFmtId="167" fontId="50" fillId="5" borderId="6" xfId="1" applyNumberFormat="1" applyFont="1" applyFill="1" applyBorder="1" applyAlignment="1"/>
    <xf numFmtId="167" fontId="50" fillId="5" borderId="6" xfId="1" applyNumberFormat="1" applyFont="1" applyFill="1" applyBorder="1" applyAlignment="1">
      <alignment horizontal="right" vertical="center"/>
    </xf>
    <xf numFmtId="17" fontId="49" fillId="5" borderId="127" xfId="0" applyNumberFormat="1" applyFont="1" applyFill="1" applyBorder="1" applyAlignment="1">
      <alignment horizontal="center" vertical="center"/>
    </xf>
    <xf numFmtId="167" fontId="50" fillId="5" borderId="40" xfId="1" applyNumberFormat="1" applyFont="1" applyFill="1" applyBorder="1"/>
    <xf numFmtId="167" fontId="50" fillId="5" borderId="9" xfId="1" applyNumberFormat="1" applyFont="1" applyFill="1" applyBorder="1"/>
    <xf numFmtId="167" fontId="50" fillId="5" borderId="215" xfId="1" applyNumberFormat="1" applyFont="1" applyFill="1" applyBorder="1" applyAlignment="1">
      <alignment horizontal="right" vertical="center"/>
    </xf>
    <xf numFmtId="167" fontId="50" fillId="5" borderId="214" xfId="1" applyNumberFormat="1" applyFont="1" applyFill="1" applyBorder="1"/>
    <xf numFmtId="17" fontId="49" fillId="5" borderId="128" xfId="0" applyNumberFormat="1" applyFont="1" applyFill="1" applyBorder="1" applyAlignment="1">
      <alignment horizontal="center" vertical="center"/>
    </xf>
    <xf numFmtId="167" fontId="50" fillId="5" borderId="126" xfId="1" applyNumberFormat="1" applyFont="1" applyFill="1" applyBorder="1"/>
    <xf numFmtId="167" fontId="50" fillId="5" borderId="3" xfId="1" applyNumberFormat="1" applyFont="1" applyFill="1" applyBorder="1"/>
    <xf numFmtId="167" fontId="50" fillId="5" borderId="203" xfId="1" applyNumberFormat="1" applyFont="1" applyFill="1" applyBorder="1" applyAlignment="1">
      <alignment horizontal="right" vertical="center"/>
    </xf>
    <xf numFmtId="167" fontId="50" fillId="5" borderId="189" xfId="1" applyNumberFormat="1" applyFont="1" applyFill="1" applyBorder="1"/>
    <xf numFmtId="17" fontId="49" fillId="5" borderId="129" xfId="0" applyNumberFormat="1" applyFont="1" applyFill="1" applyBorder="1" applyAlignment="1">
      <alignment horizontal="center" vertical="center"/>
    </xf>
    <xf numFmtId="167" fontId="50" fillId="5" borderId="200" xfId="1" applyNumberFormat="1" applyFont="1" applyFill="1" applyBorder="1"/>
    <xf numFmtId="167" fontId="50" fillId="5" borderId="201" xfId="1" applyNumberFormat="1" applyFont="1" applyFill="1" applyBorder="1"/>
    <xf numFmtId="167" fontId="50" fillId="5" borderId="209" xfId="1" applyNumberFormat="1" applyFont="1" applyFill="1" applyBorder="1" applyAlignment="1">
      <alignment horizontal="right" vertical="center"/>
    </xf>
    <xf numFmtId="167" fontId="50" fillId="5" borderId="125" xfId="1" applyNumberFormat="1" applyFont="1" applyFill="1" applyBorder="1"/>
    <xf numFmtId="0" fontId="49" fillId="5" borderId="23" xfId="0" applyFont="1" applyFill="1" applyBorder="1" applyAlignment="1">
      <alignment horizontal="center"/>
    </xf>
    <xf numFmtId="167" fontId="50" fillId="5" borderId="22" xfId="1" applyNumberFormat="1" applyFont="1" applyFill="1" applyBorder="1"/>
    <xf numFmtId="17" fontId="49" fillId="5" borderId="23" xfId="0" applyNumberFormat="1" applyFont="1" applyFill="1" applyBorder="1" applyAlignment="1">
      <alignment horizontal="center"/>
    </xf>
    <xf numFmtId="17" fontId="49" fillId="5" borderId="23" xfId="0" applyNumberFormat="1" applyFont="1" applyFill="1" applyBorder="1" applyAlignment="1">
      <alignment horizontal="center" vertical="center"/>
    </xf>
    <xf numFmtId="0" fontId="49" fillId="5" borderId="23" xfId="0" applyFont="1" applyFill="1" applyBorder="1" applyAlignment="1">
      <alignment horizontal="center" vertical="center"/>
    </xf>
    <xf numFmtId="43" fontId="50" fillId="5" borderId="7" xfId="1" applyNumberFormat="1" applyFont="1" applyFill="1" applyBorder="1"/>
    <xf numFmtId="43" fontId="50" fillId="5" borderId="184" xfId="1" applyNumberFormat="1" applyFont="1" applyFill="1" applyBorder="1" applyAlignment="1">
      <alignment vertical="center"/>
    </xf>
    <xf numFmtId="0" fontId="49" fillId="2" borderId="50" xfId="0" applyFont="1" applyFill="1" applyBorder="1" applyAlignment="1">
      <alignment horizontal="center"/>
    </xf>
    <xf numFmtId="0" fontId="49" fillId="2" borderId="128" xfId="0" applyFont="1" applyFill="1" applyBorder="1" applyAlignment="1">
      <alignment horizontal="center" vertical="center"/>
    </xf>
    <xf numFmtId="43" fontId="49" fillId="0" borderId="180" xfId="1" applyNumberFormat="1" applyFont="1" applyFill="1" applyBorder="1"/>
    <xf numFmtId="0" fontId="52" fillId="0" borderId="23" xfId="2" applyFont="1" applyFill="1" applyBorder="1" applyAlignment="1">
      <alignment horizontal="left" vertical="center"/>
    </xf>
    <xf numFmtId="3" fontId="52" fillId="0" borderId="22" xfId="2" applyNumberFormat="1" applyFont="1" applyFill="1" applyBorder="1" applyAlignment="1">
      <alignment horizontal="right" vertical="center" wrapText="1"/>
    </xf>
    <xf numFmtId="10" fontId="52" fillId="0" borderId="22" xfId="2" applyNumberFormat="1" applyFont="1" applyFill="1" applyBorder="1" applyAlignment="1">
      <alignment horizontal="right" vertical="center" wrapText="1"/>
    </xf>
    <xf numFmtId="0" fontId="52" fillId="0" borderId="21" xfId="2" applyFont="1" applyFill="1" applyBorder="1" applyAlignment="1">
      <alignment vertical="center"/>
    </xf>
    <xf numFmtId="10" fontId="52" fillId="0" borderId="21" xfId="2" applyNumberFormat="1" applyFont="1" applyFill="1" applyBorder="1" applyAlignment="1">
      <alignment horizontal="right" vertical="center" wrapText="1"/>
    </xf>
    <xf numFmtId="0" fontId="157" fillId="0" borderId="130" xfId="0" applyFont="1" applyBorder="1" applyAlignment="1">
      <alignment horizontal="left" vertical="top" wrapText="1"/>
    </xf>
    <xf numFmtId="0" fontId="157" fillId="0" borderId="37" xfId="0" applyFont="1" applyBorder="1" applyAlignment="1">
      <alignment horizontal="left" vertical="top" wrapText="1"/>
    </xf>
    <xf numFmtId="0" fontId="157" fillId="0" borderId="140" xfId="0" applyFont="1" applyBorder="1" applyAlignment="1">
      <alignment horizontal="left" vertical="top" wrapText="1"/>
    </xf>
    <xf numFmtId="4" fontId="141" fillId="5" borderId="122" xfId="356" applyNumberFormat="1" applyFont="1" applyFill="1" applyBorder="1" applyAlignment="1">
      <alignment horizontal="right" vertical="center"/>
    </xf>
    <xf numFmtId="0" fontId="18" fillId="0" borderId="120" xfId="353" applyBorder="1"/>
    <xf numFmtId="0" fontId="18" fillId="0" borderId="121" xfId="353" applyBorder="1"/>
    <xf numFmtId="0" fontId="18" fillId="0" borderId="122" xfId="353" applyBorder="1"/>
    <xf numFmtId="0" fontId="18" fillId="0" borderId="123" xfId="353" applyBorder="1"/>
    <xf numFmtId="0" fontId="51" fillId="5" borderId="123" xfId="353" applyFont="1" applyFill="1" applyBorder="1" applyAlignment="1">
      <alignment horizontal="left" vertical="center"/>
    </xf>
    <xf numFmtId="0" fontId="122" fillId="0" borderId="18" xfId="354" applyFont="1" applyFill="1" applyBorder="1" applyAlignment="1">
      <alignment horizontal="center"/>
    </xf>
    <xf numFmtId="0" fontId="122" fillId="0" borderId="22" xfId="354" applyFont="1" applyFill="1" applyBorder="1" applyAlignment="1">
      <alignment horizontal="center"/>
    </xf>
    <xf numFmtId="3" fontId="150" fillId="0" borderId="15" xfId="0" applyNumberFormat="1" applyFont="1" applyBorder="1" applyAlignment="1">
      <alignment horizontal="center" vertical="center" readingOrder="1"/>
    </xf>
    <xf numFmtId="0" fontId="154" fillId="10" borderId="154" xfId="0" applyFont="1" applyFill="1" applyBorder="1" applyAlignment="1">
      <alignment horizontal="center" vertical="center" wrapText="1"/>
    </xf>
    <xf numFmtId="0" fontId="155" fillId="0" borderId="35" xfId="0" applyFont="1" applyBorder="1"/>
    <xf numFmtId="0" fontId="155" fillId="0" borderId="35" xfId="0" applyFont="1" applyFill="1" applyBorder="1"/>
    <xf numFmtId="0" fontId="155" fillId="0" borderId="27" xfId="0" applyFont="1" applyFill="1" applyBorder="1"/>
    <xf numFmtId="0" fontId="155" fillId="5" borderId="27" xfId="0" applyFont="1" applyFill="1" applyBorder="1"/>
    <xf numFmtId="0" fontId="158" fillId="0" borderId="107" xfId="0" applyFont="1" applyBorder="1"/>
    <xf numFmtId="0" fontId="153" fillId="0" borderId="123" xfId="0" applyFont="1" applyBorder="1" applyAlignment="1">
      <alignment horizontal="center" vertical="center"/>
    </xf>
    <xf numFmtId="0" fontId="0" fillId="0" borderId="103" xfId="0" applyBorder="1"/>
    <xf numFmtId="0" fontId="155" fillId="0" borderId="123" xfId="0" applyFont="1" applyBorder="1"/>
    <xf numFmtId="0" fontId="155" fillId="0" borderId="0" xfId="0" applyFont="1" applyBorder="1"/>
    <xf numFmtId="0" fontId="155" fillId="0" borderId="103" xfId="0" applyFont="1" applyBorder="1"/>
    <xf numFmtId="0" fontId="122" fillId="0" borderId="123" xfId="0" applyFont="1" applyBorder="1" applyAlignment="1"/>
    <xf numFmtId="3" fontId="122" fillId="0" borderId="0" xfId="0" applyNumberFormat="1" applyFont="1" applyBorder="1"/>
    <xf numFmtId="0" fontId="157" fillId="0" borderId="123" xfId="0" applyFont="1" applyBorder="1"/>
    <xf numFmtId="0" fontId="157" fillId="0" borderId="0" xfId="0" applyFont="1" applyBorder="1"/>
    <xf numFmtId="0" fontId="157" fillId="0" borderId="103" xfId="0" applyFont="1" applyBorder="1"/>
    <xf numFmtId="0" fontId="157" fillId="0" borderId="103" xfId="0" applyFont="1" applyBorder="1" applyAlignment="1">
      <alignment horizontal="left" vertical="top" wrapText="1"/>
    </xf>
    <xf numFmtId="0" fontId="168" fillId="0" borderId="123" xfId="0" applyFont="1" applyBorder="1" applyAlignment="1">
      <alignment horizontal="left"/>
    </xf>
    <xf numFmtId="0" fontId="168" fillId="0" borderId="103" xfId="0" applyFont="1" applyBorder="1" applyAlignment="1">
      <alignment horizontal="left"/>
    </xf>
    <xf numFmtId="0" fontId="167" fillId="0" borderId="123" xfId="0" applyFont="1" applyFill="1" applyBorder="1" applyAlignment="1">
      <alignment horizontal="center"/>
    </xf>
    <xf numFmtId="0" fontId="167" fillId="0" borderId="103" xfId="0" applyFont="1" applyFill="1" applyBorder="1" applyAlignment="1">
      <alignment horizontal="center"/>
    </xf>
    <xf numFmtId="43" fontId="50" fillId="5" borderId="186" xfId="1" applyNumberFormat="1" applyFont="1" applyFill="1" applyBorder="1"/>
    <xf numFmtId="43" fontId="50" fillId="5" borderId="26" xfId="1" applyNumberFormat="1" applyFont="1" applyFill="1" applyBorder="1"/>
    <xf numFmtId="43" fontId="50" fillId="5" borderId="187" xfId="1" applyNumberFormat="1" applyFont="1" applyFill="1" applyBorder="1"/>
    <xf numFmtId="43" fontId="50" fillId="0" borderId="187" xfId="1" applyNumberFormat="1" applyFont="1" applyBorder="1"/>
    <xf numFmtId="43" fontId="50" fillId="0" borderId="26" xfId="1" applyNumberFormat="1" applyFont="1" applyBorder="1"/>
    <xf numFmtId="43" fontId="50" fillId="5" borderId="42" xfId="1" applyNumberFormat="1" applyFont="1" applyFill="1" applyBorder="1"/>
    <xf numFmtId="43" fontId="50" fillId="5" borderId="10" xfId="1" applyNumberFormat="1" applyFont="1" applyFill="1" applyBorder="1" applyAlignment="1">
      <alignment vertical="center"/>
    </xf>
    <xf numFmtId="43" fontId="50" fillId="5" borderId="196" xfId="1" applyNumberFormat="1" applyFont="1" applyFill="1" applyBorder="1"/>
    <xf numFmtId="43" fontId="50" fillId="5" borderId="220" xfId="1" applyNumberFormat="1" applyFont="1" applyFill="1" applyBorder="1"/>
    <xf numFmtId="43" fontId="50" fillId="5" borderId="104" xfId="1" applyNumberFormat="1" applyFont="1" applyFill="1" applyBorder="1"/>
    <xf numFmtId="43" fontId="50" fillId="5" borderId="104" xfId="1" applyNumberFormat="1" applyFont="1" applyFill="1" applyBorder="1" applyAlignment="1">
      <alignment vertical="center"/>
    </xf>
    <xf numFmtId="0" fontId="126" fillId="8" borderId="153" xfId="355" applyFont="1" applyFill="1" applyBorder="1" applyAlignment="1">
      <alignment horizontal="center" vertical="center" wrapText="1"/>
    </xf>
    <xf numFmtId="3" fontId="138" fillId="5" borderId="13" xfId="2" applyNumberFormat="1" applyFont="1" applyFill="1" applyBorder="1" applyAlignment="1">
      <alignment vertical="center"/>
    </xf>
    <xf numFmtId="1" fontId="52" fillId="5" borderId="39" xfId="2" applyNumberFormat="1" applyFont="1" applyFill="1" applyBorder="1" applyAlignment="1">
      <alignment vertical="center"/>
    </xf>
    <xf numFmtId="4" fontId="108" fillId="0" borderId="6" xfId="357" applyNumberFormat="1" applyFont="1" applyBorder="1"/>
    <xf numFmtId="17" fontId="177" fillId="0" borderId="23" xfId="0" applyNumberFormat="1" applyFont="1" applyBorder="1" applyAlignment="1">
      <alignment horizontal="left" vertical="center" wrapText="1"/>
    </xf>
    <xf numFmtId="0" fontId="169" fillId="5" borderId="6" xfId="0" applyFont="1" applyFill="1" applyBorder="1" applyAlignment="1">
      <alignment horizontal="center"/>
    </xf>
    <xf numFmtId="4" fontId="169" fillId="5" borderId="6" xfId="0" applyNumberFormat="1" applyFont="1" applyFill="1" applyBorder="1" applyAlignment="1">
      <alignment horizontal="right"/>
    </xf>
    <xf numFmtId="0" fontId="169" fillId="5" borderId="6" xfId="0" applyFont="1" applyFill="1" applyBorder="1"/>
    <xf numFmtId="2" fontId="169" fillId="5" borderId="6" xfId="0" applyNumberFormat="1" applyFont="1" applyFill="1" applyBorder="1"/>
    <xf numFmtId="2" fontId="169" fillId="5" borderId="22" xfId="0" applyNumberFormat="1" applyFont="1" applyFill="1" applyBorder="1"/>
    <xf numFmtId="17" fontId="177" fillId="0" borderId="14" xfId="0" applyNumberFormat="1" applyFont="1" applyBorder="1" applyAlignment="1">
      <alignment horizontal="left" vertical="center" wrapText="1"/>
    </xf>
    <xf numFmtId="0" fontId="178" fillId="0" borderId="13" xfId="0" applyFont="1" applyBorder="1"/>
    <xf numFmtId="4" fontId="178" fillId="0" borderId="13" xfId="0" applyNumberFormat="1" applyFont="1" applyFill="1" applyBorder="1" applyAlignment="1">
      <alignment horizontal="right"/>
    </xf>
    <xf numFmtId="43" fontId="116" fillId="5" borderId="0" xfId="1" applyFont="1" applyFill="1" applyBorder="1" applyAlignment="1">
      <alignment horizontal="center" vertical="center"/>
    </xf>
    <xf numFmtId="0" fontId="171" fillId="10" borderId="50" xfId="0" applyFont="1" applyFill="1" applyBorder="1" applyAlignment="1">
      <alignment vertical="center"/>
    </xf>
    <xf numFmtId="0" fontId="175" fillId="5" borderId="23" xfId="0" applyNumberFormat="1" applyFont="1" applyFill="1" applyBorder="1" applyAlignment="1">
      <alignment horizontal="right" vertical="center" wrapText="1"/>
    </xf>
    <xf numFmtId="0" fontId="126" fillId="8" borderId="181" xfId="355" applyFont="1" applyFill="1" applyBorder="1" applyAlignment="1">
      <alignment horizontal="center" vertical="center" wrapText="1"/>
    </xf>
    <xf numFmtId="4" fontId="141" fillId="5" borderId="135" xfId="356" applyNumberFormat="1" applyFont="1" applyFill="1" applyBorder="1" applyAlignment="1">
      <alignment vertical="center"/>
    </xf>
    <xf numFmtId="4" fontId="141" fillId="5" borderId="179" xfId="356" applyNumberFormat="1" applyFont="1" applyFill="1" applyBorder="1" applyAlignment="1">
      <alignment vertical="center"/>
    </xf>
    <xf numFmtId="4" fontId="141" fillId="5" borderId="188" xfId="356" applyNumberFormat="1" applyFont="1" applyFill="1" applyBorder="1" applyAlignment="1">
      <alignment vertical="center"/>
    </xf>
    <xf numFmtId="3" fontId="126" fillId="5" borderId="188" xfId="356" applyNumberFormat="1" applyFont="1" applyFill="1" applyBorder="1" applyAlignment="1">
      <alignment horizontal="center" vertical="center"/>
    </xf>
    <xf numFmtId="3" fontId="126" fillId="5" borderId="29" xfId="356" applyNumberFormat="1" applyFont="1" applyFill="1" applyBorder="1" applyAlignment="1">
      <alignment horizontal="center" vertical="center"/>
    </xf>
    <xf numFmtId="3" fontId="124" fillId="5" borderId="188" xfId="6" applyNumberFormat="1" applyFont="1" applyFill="1" applyBorder="1" applyAlignment="1">
      <alignment horizontal="center" vertical="center"/>
    </xf>
    <xf numFmtId="4" fontId="141" fillId="5" borderId="29" xfId="356" applyNumberFormat="1" applyFont="1" applyFill="1" applyBorder="1" applyAlignment="1">
      <alignment horizontal="right" vertical="center"/>
    </xf>
    <xf numFmtId="4" fontId="141" fillId="5" borderId="188" xfId="356" applyNumberFormat="1" applyFont="1" applyFill="1" applyBorder="1" applyAlignment="1">
      <alignment horizontal="right" vertical="center"/>
    </xf>
    <xf numFmtId="4" fontId="141" fillId="5" borderId="106" xfId="356" applyNumberFormat="1" applyFont="1" applyFill="1" applyBorder="1" applyAlignment="1">
      <alignment horizontal="right" vertical="center"/>
    </xf>
    <xf numFmtId="174" fontId="50" fillId="0" borderId="0" xfId="0" applyNumberFormat="1" applyFont="1" applyBorder="1"/>
    <xf numFmtId="167" fontId="50" fillId="0" borderId="187" xfId="1" applyNumberFormat="1" applyFont="1" applyBorder="1"/>
    <xf numFmtId="167" fontId="50" fillId="0" borderId="210" xfId="1" applyNumberFormat="1" applyFont="1" applyBorder="1"/>
    <xf numFmtId="167" fontId="50" fillId="0" borderId="198" xfId="1" applyNumberFormat="1" applyFont="1" applyBorder="1"/>
    <xf numFmtId="0" fontId="126" fillId="72" borderId="153" xfId="355" applyFont="1" applyFill="1" applyBorder="1" applyAlignment="1">
      <alignment horizontal="center" vertical="center"/>
    </xf>
    <xf numFmtId="0" fontId="126" fillId="72" borderId="181" xfId="355" applyFont="1" applyFill="1" applyBorder="1" applyAlignment="1">
      <alignment horizontal="center" vertical="center"/>
    </xf>
    <xf numFmtId="0" fontId="126" fillId="72" borderId="25" xfId="355" applyFont="1" applyFill="1" applyBorder="1" applyAlignment="1">
      <alignment horizontal="center" vertical="center"/>
    </xf>
    <xf numFmtId="10" fontId="52" fillId="0" borderId="0" xfId="2" applyNumberFormat="1" applyFont="1"/>
    <xf numFmtId="164" fontId="50" fillId="0" borderId="0" xfId="0" applyNumberFormat="1" applyFont="1" applyBorder="1"/>
    <xf numFmtId="43" fontId="49" fillId="0" borderId="20" xfId="10" applyFont="1" applyFill="1" applyBorder="1" applyAlignment="1">
      <alignment horizontal="center" vertical="center"/>
    </xf>
    <xf numFmtId="43" fontId="49" fillId="0" borderId="18" xfId="10" applyFont="1" applyFill="1" applyBorder="1" applyAlignment="1">
      <alignment horizontal="center" vertical="center"/>
    </xf>
    <xf numFmtId="43" fontId="49" fillId="0" borderId="19" xfId="10" applyFont="1" applyFill="1" applyBorder="1" applyAlignment="1">
      <alignment horizontal="center" vertical="center"/>
    </xf>
    <xf numFmtId="43" fontId="49" fillId="0" borderId="23" xfId="10" applyFont="1" applyFill="1" applyBorder="1" applyAlignment="1">
      <alignment vertical="center"/>
    </xf>
    <xf numFmtId="43" fontId="49" fillId="0" borderId="22" xfId="10" applyFont="1" applyFill="1" applyBorder="1" applyAlignment="1">
      <alignment vertical="center"/>
    </xf>
    <xf numFmtId="43" fontId="49" fillId="0" borderId="31" xfId="10" applyFont="1" applyBorder="1" applyAlignment="1">
      <alignment vertical="center"/>
    </xf>
    <xf numFmtId="43" fontId="49" fillId="0" borderId="24" xfId="10" applyFont="1" applyFill="1" applyBorder="1" applyAlignment="1">
      <alignment horizontal="center" vertical="center"/>
    </xf>
    <xf numFmtId="43" fontId="116" fillId="5" borderId="135" xfId="1" applyFont="1" applyFill="1" applyBorder="1" applyAlignment="1">
      <alignment horizontal="center" vertical="center"/>
    </xf>
    <xf numFmtId="43" fontId="49" fillId="0" borderId="15" xfId="10" applyFont="1" applyFill="1" applyBorder="1" applyAlignment="1">
      <alignment vertical="center"/>
    </xf>
    <xf numFmtId="43" fontId="49" fillId="0" borderId="16" xfId="1" applyFont="1" applyFill="1" applyBorder="1" applyAlignment="1">
      <alignment vertical="center"/>
    </xf>
    <xf numFmtId="0" fontId="52" fillId="2" borderId="150" xfId="2" applyFont="1" applyFill="1" applyBorder="1" applyAlignment="1">
      <alignment horizontal="center" vertical="center" wrapText="1"/>
    </xf>
    <xf numFmtId="0" fontId="59" fillId="2" borderId="150" xfId="2" applyFont="1" applyFill="1" applyBorder="1" applyAlignment="1">
      <alignment horizontal="center" vertical="center" wrapText="1"/>
    </xf>
    <xf numFmtId="0" fontId="52" fillId="2" borderId="194" xfId="2" applyFont="1" applyFill="1" applyBorder="1" applyAlignment="1">
      <alignment horizontal="center" vertical="center" wrapText="1"/>
    </xf>
    <xf numFmtId="167" fontId="174" fillId="0" borderId="168" xfId="1" applyNumberFormat="1" applyFont="1" applyBorder="1"/>
    <xf numFmtId="167" fontId="174" fillId="0" borderId="1" xfId="1" applyNumberFormat="1" applyFont="1" applyBorder="1"/>
    <xf numFmtId="167" fontId="174" fillId="0" borderId="41" xfId="1" applyNumberFormat="1" applyFont="1" applyBorder="1"/>
    <xf numFmtId="167" fontId="174" fillId="0" borderId="10" xfId="1" applyNumberFormat="1" applyFont="1" applyBorder="1"/>
    <xf numFmtId="167" fontId="163" fillId="0" borderId="41" xfId="1" applyNumberFormat="1" applyFont="1" applyBorder="1"/>
    <xf numFmtId="43" fontId="163" fillId="0" borderId="168" xfId="1" applyFont="1" applyBorder="1"/>
    <xf numFmtId="43" fontId="163" fillId="0" borderId="10" xfId="1" applyFont="1" applyBorder="1"/>
    <xf numFmtId="43" fontId="163" fillId="0" borderId="1" xfId="1" applyFont="1" applyBorder="1"/>
    <xf numFmtId="43" fontId="163" fillId="0" borderId="41" xfId="1" applyFont="1" applyBorder="1"/>
    <xf numFmtId="167" fontId="163" fillId="0" borderId="1" xfId="1" applyNumberFormat="1" applyFont="1" applyBorder="1"/>
    <xf numFmtId="167" fontId="174" fillId="0" borderId="0" xfId="0" applyNumberFormat="1" applyFont="1" applyBorder="1"/>
    <xf numFmtId="0" fontId="174" fillId="0" borderId="0" xfId="0" applyFont="1"/>
    <xf numFmtId="9" fontId="174" fillId="0" borderId="0" xfId="0" applyNumberFormat="1" applyFont="1"/>
    <xf numFmtId="0" fontId="180" fillId="0" borderId="0" xfId="0" applyFont="1" applyBorder="1"/>
    <xf numFmtId="0" fontId="180" fillId="0" borderId="0" xfId="0" applyFont="1"/>
    <xf numFmtId="0" fontId="50" fillId="5" borderId="49" xfId="0" applyFont="1" applyFill="1" applyBorder="1"/>
    <xf numFmtId="0" fontId="89" fillId="69" borderId="7" xfId="285" applyFont="1" applyFill="1" applyBorder="1"/>
    <xf numFmtId="4" fontId="89" fillId="0" borderId="13" xfId="357" applyNumberFormat="1" applyFont="1" applyBorder="1"/>
    <xf numFmtId="4" fontId="89" fillId="0" borderId="12" xfId="357" applyNumberFormat="1" applyFont="1" applyBorder="1"/>
    <xf numFmtId="167" fontId="50" fillId="73" borderId="125" xfId="1" applyNumberFormat="1" applyFont="1" applyFill="1" applyBorder="1"/>
    <xf numFmtId="167" fontId="50" fillId="73" borderId="156" xfId="1" applyNumberFormat="1" applyFont="1" applyFill="1" applyBorder="1"/>
    <xf numFmtId="167" fontId="53" fillId="0" borderId="7" xfId="1" applyNumberFormat="1" applyFont="1" applyFill="1" applyBorder="1" applyAlignment="1">
      <alignment vertical="center"/>
    </xf>
    <xf numFmtId="17" fontId="115" fillId="2" borderId="179" xfId="0" applyNumberFormat="1" applyFont="1" applyFill="1" applyBorder="1" applyAlignment="1">
      <alignment horizontal="center"/>
    </xf>
    <xf numFmtId="3" fontId="126" fillId="5" borderId="143" xfId="356" applyNumberFormat="1" applyFont="1" applyFill="1" applyBorder="1" applyAlignment="1">
      <alignment horizontal="center" vertical="center"/>
    </xf>
    <xf numFmtId="3" fontId="126" fillId="5" borderId="148" xfId="356" applyNumberFormat="1" applyFont="1" applyFill="1" applyBorder="1" applyAlignment="1">
      <alignment horizontal="center" vertical="center"/>
    </xf>
    <xf numFmtId="10" fontId="108" fillId="5" borderId="191" xfId="6" applyNumberFormat="1" applyFont="1" applyFill="1" applyBorder="1" applyAlignment="1">
      <alignment horizontal="center" vertical="center"/>
    </xf>
    <xf numFmtId="17" fontId="91" fillId="0" borderId="139" xfId="310" applyNumberFormat="1" applyFont="1" applyFill="1" applyBorder="1"/>
    <xf numFmtId="3" fontId="52" fillId="0" borderId="34" xfId="2" applyNumberFormat="1" applyFont="1" applyBorder="1" applyAlignment="1">
      <alignment horizontal="center" vertical="center"/>
    </xf>
    <xf numFmtId="3" fontId="52" fillId="0" borderId="31" xfId="2" applyNumberFormat="1" applyFont="1" applyBorder="1" applyAlignment="1">
      <alignment horizontal="center" vertical="center"/>
    </xf>
    <xf numFmtId="3" fontId="52" fillId="0" borderId="32" xfId="2" applyNumberFormat="1" applyFont="1" applyBorder="1" applyAlignment="1">
      <alignment horizontal="center" vertical="center"/>
    </xf>
    <xf numFmtId="3" fontId="52" fillId="0" borderId="19" xfId="2" applyNumberFormat="1" applyFont="1" applyBorder="1" applyAlignment="1">
      <alignment horizontal="center" vertical="center"/>
    </xf>
    <xf numFmtId="0" fontId="138" fillId="79" borderId="14" xfId="2" applyFont="1" applyFill="1" applyBorder="1" applyAlignment="1">
      <alignment horizontal="center" vertical="center" wrapText="1"/>
    </xf>
    <xf numFmtId="0" fontId="138" fillId="79" borderId="13" xfId="2" applyFont="1" applyFill="1" applyBorder="1" applyAlignment="1">
      <alignment horizontal="center" vertical="center" wrapText="1"/>
    </xf>
    <xf numFmtId="0" fontId="91" fillId="79" borderId="12" xfId="310" applyFont="1" applyFill="1" applyBorder="1" applyAlignment="1">
      <alignment vertical="center"/>
    </xf>
    <xf numFmtId="3" fontId="70" fillId="0" borderId="122" xfId="0" applyNumberFormat="1" applyFont="1" applyBorder="1" applyAlignment="1">
      <alignment vertical="center"/>
    </xf>
    <xf numFmtId="3" fontId="52" fillId="0" borderId="28" xfId="2" applyNumberFormat="1" applyFont="1" applyBorder="1" applyAlignment="1">
      <alignment horizontal="center" vertical="center"/>
    </xf>
    <xf numFmtId="3" fontId="52" fillId="0" borderId="35" xfId="2" applyNumberFormat="1" applyFont="1" applyBorder="1" applyAlignment="1">
      <alignment horizontal="center" vertical="center"/>
    </xf>
    <xf numFmtId="3" fontId="52" fillId="0" borderId="27" xfId="2" applyNumberFormat="1" applyFont="1" applyBorder="1" applyAlignment="1">
      <alignment horizontal="center" vertical="center"/>
    </xf>
    <xf numFmtId="3" fontId="52" fillId="0" borderId="154" xfId="2" applyNumberFormat="1" applyFont="1" applyBorder="1" applyAlignment="1">
      <alignment horizontal="center" vertical="center"/>
    </xf>
    <xf numFmtId="3" fontId="91" fillId="0" borderId="188" xfId="310" applyNumberFormat="1" applyFont="1" applyBorder="1" applyAlignment="1">
      <alignment horizontal="center" vertical="center"/>
    </xf>
    <xf numFmtId="0" fontId="138" fillId="79" borderId="102" xfId="2" applyFont="1" applyFill="1" applyBorder="1" applyAlignment="1">
      <alignment horizontal="center" vertical="center" wrapText="1"/>
    </xf>
    <xf numFmtId="0" fontId="138" fillId="79" borderId="39" xfId="2" applyFont="1" applyFill="1" applyBorder="1" applyAlignment="1">
      <alignment horizontal="center" vertical="center" wrapText="1"/>
    </xf>
    <xf numFmtId="0" fontId="138" fillId="79" borderId="39" xfId="2" applyFont="1" applyFill="1" applyBorder="1" applyAlignment="1">
      <alignment horizontal="center" vertical="center"/>
    </xf>
    <xf numFmtId="0" fontId="91" fillId="79" borderId="180" xfId="310" applyFont="1" applyFill="1" applyBorder="1" applyAlignment="1">
      <alignment vertical="center"/>
    </xf>
    <xf numFmtId="0" fontId="171" fillId="10" borderId="96" xfId="0" applyFont="1" applyFill="1" applyBorder="1" applyAlignment="1">
      <alignment horizontal="center" vertical="center"/>
    </xf>
    <xf numFmtId="0" fontId="173" fillId="5" borderId="23" xfId="0" applyFont="1" applyFill="1" applyBorder="1" applyAlignment="1">
      <alignment horizontal="right" vertical="center"/>
    </xf>
    <xf numFmtId="0" fontId="171" fillId="10" borderId="33" xfId="0" applyFont="1" applyFill="1" applyBorder="1" applyAlignment="1">
      <alignment horizontal="center" vertical="center"/>
    </xf>
    <xf numFmtId="0" fontId="171" fillId="10" borderId="30" xfId="0" applyFont="1" applyFill="1" applyBorder="1" applyAlignment="1">
      <alignment horizontal="center" vertical="center"/>
    </xf>
    <xf numFmtId="0" fontId="171" fillId="10" borderId="51" xfId="0" applyFont="1" applyFill="1" applyBorder="1" applyAlignment="1">
      <alignment horizontal="center" vertical="center"/>
    </xf>
    <xf numFmtId="0" fontId="171" fillId="10" borderId="190" xfId="0" applyFont="1" applyFill="1" applyBorder="1" applyAlignment="1">
      <alignment horizontal="center" vertical="center"/>
    </xf>
    <xf numFmtId="0" fontId="16" fillId="0" borderId="0" xfId="413"/>
    <xf numFmtId="0" fontId="51" fillId="2" borderId="148" xfId="413" applyFont="1" applyFill="1" applyBorder="1" applyAlignment="1">
      <alignment horizontal="left" vertical="center"/>
    </xf>
    <xf numFmtId="0" fontId="116" fillId="0" borderId="130" xfId="413" applyFont="1" applyFill="1" applyBorder="1" applyAlignment="1">
      <alignment vertical="center"/>
    </xf>
    <xf numFmtId="0" fontId="116" fillId="0" borderId="37" xfId="413" applyFont="1" applyFill="1" applyBorder="1" applyAlignment="1">
      <alignment vertical="center"/>
    </xf>
    <xf numFmtId="0" fontId="49" fillId="2" borderId="22" xfId="413" applyFont="1" applyFill="1" applyBorder="1" applyAlignment="1">
      <alignment horizontal="center" vertical="center" wrapText="1"/>
    </xf>
    <xf numFmtId="0" fontId="51" fillId="2" borderId="135" xfId="413" applyFont="1" applyFill="1" applyBorder="1" applyAlignment="1">
      <alignment horizontal="left" vertical="center"/>
    </xf>
    <xf numFmtId="0" fontId="51" fillId="2" borderId="192" xfId="413" applyFont="1" applyFill="1" applyBorder="1" applyAlignment="1">
      <alignment horizontal="left" vertical="center"/>
    </xf>
    <xf numFmtId="0" fontId="51" fillId="5" borderId="0" xfId="413" applyFont="1" applyFill="1" applyBorder="1" applyAlignment="1">
      <alignment horizontal="left" vertical="center"/>
    </xf>
    <xf numFmtId="0" fontId="133" fillId="0" borderId="0" xfId="413" applyFont="1" applyFill="1" applyBorder="1" applyAlignment="1">
      <alignment horizontal="left" vertical="center"/>
    </xf>
    <xf numFmtId="0" fontId="108" fillId="74" borderId="123" xfId="414" applyFont="1" applyFill="1" applyBorder="1" applyAlignment="1">
      <alignment horizontal="center" vertical="center" wrapText="1"/>
    </xf>
    <xf numFmtId="0" fontId="108" fillId="74" borderId="0" xfId="414" applyFont="1" applyFill="1" applyBorder="1" applyAlignment="1">
      <alignment horizontal="center" vertical="center" wrapText="1"/>
    </xf>
    <xf numFmtId="0" fontId="108" fillId="74" borderId="103" xfId="414" applyFont="1" applyFill="1" applyBorder="1" applyAlignment="1">
      <alignment horizontal="center" vertical="center" wrapText="1"/>
    </xf>
    <xf numFmtId="0" fontId="51" fillId="0" borderId="123" xfId="414" applyFont="1" applyBorder="1" applyAlignment="1">
      <alignment vertical="center"/>
    </xf>
    <xf numFmtId="0" fontId="51" fillId="0" borderId="123" xfId="414" applyFont="1" applyFill="1" applyBorder="1" applyAlignment="1">
      <alignment vertical="center"/>
    </xf>
    <xf numFmtId="0" fontId="75" fillId="0" borderId="0" xfId="413" applyFont="1"/>
    <xf numFmtId="0" fontId="133" fillId="5" borderId="0" xfId="413" applyFont="1" applyFill="1" applyBorder="1" applyAlignment="1">
      <alignment horizontal="center" vertical="center"/>
    </xf>
    <xf numFmtId="49" fontId="109" fillId="0" borderId="0" xfId="414" applyNumberFormat="1" applyFont="1" applyBorder="1"/>
    <xf numFmtId="0" fontId="108" fillId="0" borderId="0" xfId="414" applyFont="1" applyBorder="1"/>
    <xf numFmtId="43" fontId="108" fillId="0" borderId="0" xfId="414" applyNumberFormat="1" applyFont="1" applyBorder="1"/>
    <xf numFmtId="43" fontId="75" fillId="0" borderId="0" xfId="414" applyNumberFormat="1" applyFont="1" applyBorder="1"/>
    <xf numFmtId="167" fontId="75" fillId="0" borderId="0" xfId="414" applyNumberFormat="1" applyFont="1" applyFill="1" applyBorder="1" applyAlignment="1">
      <alignment vertical="center"/>
    </xf>
    <xf numFmtId="43" fontId="108" fillId="0" borderId="0" xfId="414" applyNumberFormat="1" applyFont="1" applyBorder="1" applyAlignment="1">
      <alignment vertical="center"/>
    </xf>
    <xf numFmtId="0" fontId="72" fillId="0" borderId="181" xfId="413" applyFont="1" applyFill="1" applyBorder="1" applyAlignment="1">
      <alignment horizontal="center" vertical="center"/>
    </xf>
    <xf numFmtId="0" fontId="72" fillId="0" borderId="0" xfId="413" applyFont="1" applyFill="1" applyBorder="1" applyAlignment="1">
      <alignment horizontal="center" vertical="center"/>
    </xf>
    <xf numFmtId="0" fontId="51" fillId="5" borderId="153" xfId="413" applyFont="1" applyFill="1" applyBorder="1" applyAlignment="1">
      <alignment horizontal="center" vertical="center"/>
    </xf>
    <xf numFmtId="0" fontId="72" fillId="0" borderId="14" xfId="413" applyFont="1" applyFill="1" applyBorder="1" applyAlignment="1">
      <alignment horizontal="center" vertical="center"/>
    </xf>
    <xf numFmtId="0" fontId="72" fillId="0" borderId="12" xfId="413" applyFont="1" applyFill="1" applyBorder="1" applyAlignment="1">
      <alignment horizontal="center" vertical="center"/>
    </xf>
    <xf numFmtId="0" fontId="72" fillId="0" borderId="48" xfId="413" applyFont="1" applyFill="1" applyBorder="1" applyAlignment="1">
      <alignment horizontal="center" vertical="center"/>
    </xf>
    <xf numFmtId="0" fontId="116" fillId="5" borderId="139" xfId="413" applyFont="1" applyFill="1" applyBorder="1" applyAlignment="1">
      <alignment vertical="center" wrapText="1"/>
    </xf>
    <xf numFmtId="43" fontId="116" fillId="5" borderId="188" xfId="413" applyNumberFormat="1" applyFont="1" applyFill="1" applyBorder="1" applyAlignment="1">
      <alignment horizontal="center" vertical="center"/>
    </xf>
    <xf numFmtId="43" fontId="116" fillId="5" borderId="0" xfId="413" applyNumberFormat="1" applyFont="1" applyFill="1" applyBorder="1" applyAlignment="1">
      <alignment horizontal="center" vertical="center"/>
    </xf>
    <xf numFmtId="0" fontId="116" fillId="5" borderId="130" xfId="413" applyFont="1" applyFill="1" applyBorder="1" applyAlignment="1">
      <alignment vertical="center" wrapText="1"/>
    </xf>
    <xf numFmtId="43" fontId="116" fillId="5" borderId="135" xfId="413" applyNumberFormat="1" applyFont="1" applyFill="1" applyBorder="1" applyAlignment="1">
      <alignment horizontal="center" vertical="center"/>
    </xf>
    <xf numFmtId="166" fontId="116" fillId="5" borderId="23" xfId="413" applyNumberFormat="1" applyFont="1" applyFill="1" applyBorder="1" applyAlignment="1">
      <alignment horizontal="center" vertical="center"/>
    </xf>
    <xf numFmtId="166" fontId="116" fillId="5" borderId="22" xfId="413" applyNumberFormat="1" applyFont="1" applyFill="1" applyBorder="1" applyAlignment="1">
      <alignment horizontal="center" vertical="center"/>
    </xf>
    <xf numFmtId="166" fontId="116" fillId="5" borderId="31" xfId="413" applyNumberFormat="1" applyFont="1" applyFill="1" applyBorder="1" applyAlignment="1">
      <alignment horizontal="center" vertical="center"/>
    </xf>
    <xf numFmtId="166" fontId="116" fillId="5" borderId="140" xfId="413" applyNumberFormat="1" applyFont="1" applyFill="1" applyBorder="1" applyAlignment="1">
      <alignment horizontal="center" vertical="center"/>
    </xf>
    <xf numFmtId="0" fontId="116" fillId="5" borderId="152" xfId="413" applyFont="1" applyFill="1" applyBorder="1" applyAlignment="1">
      <alignment horizontal="left" vertical="center" wrapText="1"/>
    </xf>
    <xf numFmtId="4" fontId="49" fillId="0" borderId="17" xfId="415" applyNumberFormat="1" applyFont="1" applyFill="1" applyBorder="1" applyAlignment="1">
      <alignment horizontal="right" vertical="center"/>
    </xf>
    <xf numFmtId="4" fontId="116" fillId="5" borderId="192" xfId="413" applyNumberFormat="1" applyFont="1" applyFill="1" applyBorder="1" applyAlignment="1">
      <alignment horizontal="right" vertical="center"/>
    </xf>
    <xf numFmtId="4" fontId="116" fillId="5" borderId="0" xfId="413" applyNumberFormat="1" applyFont="1" applyFill="1" applyBorder="1" applyAlignment="1">
      <alignment horizontal="right" vertical="center"/>
    </xf>
    <xf numFmtId="0" fontId="16" fillId="0" borderId="0" xfId="413" applyBorder="1"/>
    <xf numFmtId="0" fontId="16" fillId="5" borderId="0" xfId="413" applyFill="1" applyBorder="1"/>
    <xf numFmtId="0" fontId="16" fillId="5" borderId="0" xfId="413" applyFill="1"/>
    <xf numFmtId="0" fontId="126" fillId="8" borderId="181" xfId="415" applyFont="1" applyFill="1" applyBorder="1" applyAlignment="1">
      <alignment horizontal="center" vertical="center" wrapText="1"/>
    </xf>
    <xf numFmtId="0" fontId="141" fillId="5" borderId="0" xfId="415" applyFont="1" applyFill="1" applyBorder="1" applyAlignment="1">
      <alignment horizontal="center" vertical="center"/>
    </xf>
    <xf numFmtId="0" fontId="141" fillId="5" borderId="0" xfId="415" applyFont="1" applyFill="1" applyBorder="1" applyAlignment="1">
      <alignment horizontal="center" vertical="center" wrapText="1"/>
    </xf>
    <xf numFmtId="10" fontId="126" fillId="5" borderId="49" xfId="417" applyNumberFormat="1" applyFont="1" applyFill="1" applyBorder="1" applyAlignment="1">
      <alignment horizontal="left" vertical="center"/>
    </xf>
    <xf numFmtId="10" fontId="126" fillId="5" borderId="18" xfId="417" applyNumberFormat="1" applyFont="1" applyFill="1" applyBorder="1" applyAlignment="1">
      <alignment horizontal="left" vertical="center"/>
    </xf>
    <xf numFmtId="10" fontId="126" fillId="5" borderId="20" xfId="417" applyNumberFormat="1" applyFont="1" applyFill="1" applyBorder="1" applyAlignment="1">
      <alignment horizontal="left" vertical="center"/>
    </xf>
    <xf numFmtId="10" fontId="126" fillId="5" borderId="148" xfId="417" applyNumberFormat="1" applyFont="1" applyFill="1" applyBorder="1" applyAlignment="1">
      <alignment horizontal="left" vertical="center"/>
    </xf>
    <xf numFmtId="10" fontId="126" fillId="5" borderId="6" xfId="417" applyNumberFormat="1" applyFont="1" applyFill="1" applyBorder="1" applyAlignment="1">
      <alignment horizontal="left" vertical="center"/>
    </xf>
    <xf numFmtId="10" fontId="126" fillId="5" borderId="22" xfId="417" applyNumberFormat="1" applyFont="1" applyFill="1" applyBorder="1" applyAlignment="1">
      <alignment horizontal="left" vertical="center"/>
    </xf>
    <xf numFmtId="10" fontId="126" fillId="5" borderId="23" xfId="417" applyNumberFormat="1" applyFont="1" applyFill="1" applyBorder="1" applyAlignment="1">
      <alignment horizontal="left" vertical="center"/>
    </xf>
    <xf numFmtId="10" fontId="126" fillId="5" borderId="135" xfId="417" applyNumberFormat="1" applyFont="1" applyFill="1" applyBorder="1" applyAlignment="1">
      <alignment horizontal="left" vertical="center"/>
    </xf>
    <xf numFmtId="10" fontId="126" fillId="5" borderId="7" xfId="417" applyNumberFormat="1" applyFont="1" applyFill="1" applyBorder="1" applyAlignment="1">
      <alignment horizontal="left" vertical="center"/>
    </xf>
    <xf numFmtId="10" fontId="126" fillId="5" borderId="50" xfId="417" applyNumberFormat="1" applyFont="1" applyFill="1" applyBorder="1" applyAlignment="1">
      <alignment horizontal="left" vertical="center"/>
    </xf>
    <xf numFmtId="10" fontId="126" fillId="5" borderId="96" xfId="417" applyNumberFormat="1" applyFont="1" applyFill="1" applyBorder="1" applyAlignment="1">
      <alignment horizontal="left" vertical="center"/>
    </xf>
    <xf numFmtId="10" fontId="126" fillId="5" borderId="179" xfId="417" applyNumberFormat="1" applyFont="1" applyFill="1" applyBorder="1" applyAlignment="1">
      <alignment horizontal="left" vertical="center"/>
    </xf>
    <xf numFmtId="10" fontId="126" fillId="5" borderId="0" xfId="417" applyNumberFormat="1" applyFont="1" applyFill="1" applyBorder="1" applyAlignment="1">
      <alignment horizontal="left" vertical="center"/>
    </xf>
    <xf numFmtId="165" fontId="108" fillId="0" borderId="15" xfId="167" applyFont="1" applyFill="1" applyBorder="1" applyAlignment="1">
      <alignment horizontal="center" vertical="center"/>
    </xf>
    <xf numFmtId="167" fontId="49" fillId="0" borderId="31" xfId="1" applyNumberFormat="1" applyFont="1" applyBorder="1"/>
    <xf numFmtId="167" fontId="53" fillId="0" borderId="31" xfId="1" applyNumberFormat="1" applyFont="1" applyFill="1" applyBorder="1" applyAlignment="1">
      <alignment vertical="center"/>
    </xf>
    <xf numFmtId="43" fontId="50" fillId="5" borderId="118" xfId="1" applyNumberFormat="1" applyFont="1" applyFill="1" applyBorder="1"/>
    <xf numFmtId="167" fontId="49" fillId="0" borderId="23" xfId="1" applyNumberFormat="1" applyFont="1" applyBorder="1"/>
    <xf numFmtId="167" fontId="53" fillId="0" borderId="23" xfId="1" applyNumberFormat="1" applyFont="1" applyFill="1" applyBorder="1" applyAlignment="1">
      <alignment vertical="center"/>
    </xf>
    <xf numFmtId="167" fontId="53" fillId="0" borderId="22" xfId="1" applyNumberFormat="1" applyFont="1" applyFill="1" applyBorder="1" applyAlignment="1">
      <alignment vertical="center"/>
    </xf>
    <xf numFmtId="43" fontId="49" fillId="5" borderId="15" xfId="1" applyFont="1" applyFill="1" applyBorder="1" applyAlignment="1">
      <alignment horizontal="right" vertical="center" wrapText="1"/>
    </xf>
    <xf numFmtId="43" fontId="49" fillId="5" borderId="96" xfId="1" applyFont="1" applyFill="1" applyBorder="1" applyAlignment="1">
      <alignment horizontal="right" vertical="center" wrapText="1"/>
    </xf>
    <xf numFmtId="43" fontId="115" fillId="0" borderId="18" xfId="1" applyNumberFormat="1" applyFont="1" applyBorder="1"/>
    <xf numFmtId="43" fontId="148" fillId="0" borderId="22" xfId="0" applyNumberFormat="1" applyFont="1" applyBorder="1"/>
    <xf numFmtId="43" fontId="115" fillId="0" borderId="96" xfId="1" applyNumberFormat="1" applyFont="1" applyBorder="1"/>
    <xf numFmtId="43" fontId="182" fillId="5" borderId="12" xfId="1" applyNumberFormat="1" applyFont="1" applyFill="1" applyBorder="1"/>
    <xf numFmtId="173" fontId="182" fillId="5" borderId="167" xfId="6" applyNumberFormat="1" applyFont="1" applyFill="1" applyBorder="1" applyAlignment="1">
      <alignment horizontal="center"/>
    </xf>
    <xf numFmtId="10" fontId="182" fillId="5" borderId="167" xfId="6" applyNumberFormat="1" applyFont="1" applyFill="1" applyBorder="1" applyAlignment="1">
      <alignment horizontal="center"/>
    </xf>
    <xf numFmtId="173" fontId="181" fillId="5" borderId="15" xfId="6" applyNumberFormat="1" applyFont="1" applyFill="1" applyBorder="1" applyAlignment="1">
      <alignment horizontal="center"/>
    </xf>
    <xf numFmtId="10" fontId="181" fillId="5" borderId="15" xfId="6" applyNumberFormat="1" applyFont="1" applyFill="1" applyBorder="1" applyAlignment="1">
      <alignment horizontal="center"/>
    </xf>
    <xf numFmtId="9" fontId="50" fillId="0" borderId="0" xfId="6" applyNumberFormat="1" applyFont="1"/>
    <xf numFmtId="43" fontId="50" fillId="0" borderId="0" xfId="1" applyFont="1"/>
    <xf numFmtId="10" fontId="157" fillId="0" borderId="0" xfId="6" applyNumberFormat="1" applyFont="1"/>
    <xf numFmtId="167" fontId="50" fillId="5" borderId="49" xfId="1" applyNumberFormat="1" applyFont="1" applyFill="1" applyBorder="1"/>
    <xf numFmtId="43" fontId="50" fillId="0" borderId="96" xfId="1" applyNumberFormat="1" applyFont="1" applyBorder="1"/>
    <xf numFmtId="43" fontId="50" fillId="5" borderId="47" xfId="1" applyNumberFormat="1" applyFont="1" applyFill="1" applyBorder="1"/>
    <xf numFmtId="167" fontId="50" fillId="5" borderId="0" xfId="1" applyNumberFormat="1" applyFont="1" applyFill="1" applyBorder="1"/>
    <xf numFmtId="167" fontId="50" fillId="0" borderId="2" xfId="1" applyNumberFormat="1" applyFont="1" applyBorder="1"/>
    <xf numFmtId="167" fontId="50" fillId="5" borderId="225" xfId="1" applyNumberFormat="1" applyFont="1" applyFill="1" applyBorder="1"/>
    <xf numFmtId="167" fontId="50" fillId="5" borderId="96" xfId="1" applyNumberFormat="1" applyFont="1" applyFill="1" applyBorder="1"/>
    <xf numFmtId="17" fontId="49" fillId="5" borderId="191" xfId="0" applyNumberFormat="1" applyFont="1" applyFill="1" applyBorder="1" applyAlignment="1">
      <alignment horizontal="center" vertical="center"/>
    </xf>
    <xf numFmtId="167" fontId="50" fillId="5" borderId="115" xfId="1" applyNumberFormat="1" applyFont="1" applyFill="1" applyBorder="1"/>
    <xf numFmtId="167" fontId="50" fillId="5" borderId="97" xfId="1" applyNumberFormat="1" applyFont="1" applyFill="1" applyBorder="1"/>
    <xf numFmtId="167" fontId="50" fillId="0" borderId="219" xfId="1" applyNumberFormat="1" applyFont="1" applyBorder="1"/>
    <xf numFmtId="167" fontId="50" fillId="73" borderId="104" xfId="1" applyNumberFormat="1" applyFont="1" applyFill="1" applyBorder="1"/>
    <xf numFmtId="167" fontId="49" fillId="73" borderId="114" xfId="1" applyNumberFormat="1" applyFont="1" applyFill="1" applyBorder="1"/>
    <xf numFmtId="167" fontId="49" fillId="0" borderId="49" xfId="1" applyNumberFormat="1" applyFont="1" applyBorder="1"/>
    <xf numFmtId="167" fontId="53" fillId="0" borderId="49" xfId="1" applyNumberFormat="1" applyFont="1" applyFill="1" applyBorder="1" applyAlignment="1">
      <alignment vertical="center"/>
    </xf>
    <xf numFmtId="167" fontId="50" fillId="0" borderId="6" xfId="1" applyNumberFormat="1" applyFont="1" applyFill="1" applyBorder="1"/>
    <xf numFmtId="17" fontId="63" fillId="2" borderId="128" xfId="0" applyNumberFormat="1" applyFont="1" applyFill="1" applyBorder="1" applyAlignment="1">
      <alignment horizontal="center"/>
    </xf>
    <xf numFmtId="167" fontId="50" fillId="0" borderId="0" xfId="1" applyNumberFormat="1" applyFont="1" applyFill="1" applyBorder="1"/>
    <xf numFmtId="167" fontId="53" fillId="0" borderId="0" xfId="1" applyNumberFormat="1" applyFont="1" applyFill="1" applyBorder="1" applyAlignment="1">
      <alignment vertical="center"/>
    </xf>
    <xf numFmtId="0" fontId="66" fillId="5" borderId="0" xfId="0" applyFont="1" applyFill="1" applyBorder="1"/>
    <xf numFmtId="10" fontId="50" fillId="6" borderId="156" xfId="6" applyNumberFormat="1" applyFont="1" applyFill="1" applyBorder="1"/>
    <xf numFmtId="10" fontId="50" fillId="6" borderId="104" xfId="6" applyNumberFormat="1" applyFont="1" applyFill="1" applyBorder="1"/>
    <xf numFmtId="43" fontId="49" fillId="0" borderId="195" xfId="1" applyNumberFormat="1" applyFont="1" applyFill="1" applyBorder="1"/>
    <xf numFmtId="3" fontId="50" fillId="5" borderId="148" xfId="0" applyNumberFormat="1" applyFont="1" applyFill="1" applyBorder="1"/>
    <xf numFmtId="3" fontId="50" fillId="0" borderId="135" xfId="0" applyNumberFormat="1" applyFont="1" applyBorder="1"/>
    <xf numFmtId="17" fontId="163" fillId="2" borderId="136" xfId="0" applyNumberFormat="1" applyFont="1" applyFill="1" applyBorder="1" applyAlignment="1">
      <alignment horizontal="center"/>
    </xf>
    <xf numFmtId="167" fontId="174" fillId="0" borderId="44" xfId="1" applyNumberFormat="1" applyFont="1" applyBorder="1"/>
    <xf numFmtId="167" fontId="174" fillId="0" borderId="47" xfId="1" applyNumberFormat="1" applyFont="1" applyBorder="1"/>
    <xf numFmtId="9" fontId="108" fillId="5" borderId="195" xfId="6" applyNumberFormat="1" applyFont="1" applyFill="1" applyBorder="1" applyAlignment="1">
      <alignment horizontal="center" vertical="center"/>
    </xf>
    <xf numFmtId="9" fontId="108" fillId="0" borderId="179" xfId="6" applyNumberFormat="1" applyFont="1" applyBorder="1" applyAlignment="1">
      <alignment horizontal="center" vertical="center"/>
    </xf>
    <xf numFmtId="10" fontId="52" fillId="0" borderId="0" xfId="250" applyNumberFormat="1" applyFont="1" applyBorder="1" applyAlignment="1">
      <alignment vertical="center"/>
    </xf>
    <xf numFmtId="10" fontId="52" fillId="0" borderId="21" xfId="250" applyNumberFormat="1" applyFont="1" applyBorder="1"/>
    <xf numFmtId="10" fontId="52" fillId="0" borderId="15" xfId="250" applyNumberFormat="1" applyFont="1" applyBorder="1"/>
    <xf numFmtId="10" fontId="52" fillId="0" borderId="0" xfId="250" applyNumberFormat="1" applyFont="1" applyBorder="1"/>
    <xf numFmtId="10" fontId="52" fillId="0" borderId="6" xfId="250" applyNumberFormat="1" applyFont="1" applyFill="1" applyBorder="1" applyAlignment="1">
      <alignment horizontal="right" vertical="center" wrapText="1"/>
    </xf>
    <xf numFmtId="10" fontId="52" fillId="0" borderId="22" xfId="250" applyNumberFormat="1" applyFont="1" applyFill="1" applyBorder="1" applyAlignment="1">
      <alignment horizontal="right" vertical="center" wrapText="1"/>
    </xf>
    <xf numFmtId="10" fontId="52" fillId="0" borderId="21" xfId="250" applyNumberFormat="1" applyFont="1" applyFill="1" applyBorder="1" applyAlignment="1">
      <alignment horizontal="right" vertical="center" wrapText="1"/>
    </xf>
    <xf numFmtId="10" fontId="52" fillId="0" borderId="15" xfId="250" applyNumberFormat="1" applyFont="1" applyFill="1" applyBorder="1" applyAlignment="1">
      <alignment horizontal="right" vertical="center" wrapText="1"/>
    </xf>
    <xf numFmtId="43" fontId="116" fillId="5" borderId="0" xfId="413" applyNumberFormat="1" applyFont="1" applyFill="1" applyBorder="1" applyAlignment="1">
      <alignment horizontal="center"/>
    </xf>
    <xf numFmtId="17" fontId="49" fillId="5" borderId="132" xfId="0" applyNumberFormat="1" applyFont="1" applyFill="1" applyBorder="1" applyAlignment="1">
      <alignment horizontal="center" vertical="center"/>
    </xf>
    <xf numFmtId="167" fontId="50" fillId="0" borderId="111" xfId="1" applyNumberFormat="1" applyFont="1" applyBorder="1"/>
    <xf numFmtId="184" fontId="50" fillId="0" borderId="111" xfId="1" applyNumberFormat="1" applyFont="1" applyBorder="1" applyAlignment="1">
      <alignment horizontal="right" vertical="center"/>
    </xf>
    <xf numFmtId="167" fontId="50" fillId="0" borderId="41" xfId="1" applyNumberFormat="1" applyFont="1" applyBorder="1" applyAlignment="1">
      <alignment horizontal="right" vertical="center"/>
    </xf>
    <xf numFmtId="17" fontId="49" fillId="2" borderId="146" xfId="0" applyNumberFormat="1" applyFont="1" applyFill="1" applyBorder="1" applyAlignment="1">
      <alignment horizontal="center" vertical="center"/>
    </xf>
    <xf numFmtId="17" fontId="49" fillId="2" borderId="118" xfId="0" applyNumberFormat="1" applyFont="1" applyFill="1" applyBorder="1" applyAlignment="1">
      <alignment horizontal="center" vertical="center"/>
    </xf>
    <xf numFmtId="167" fontId="50" fillId="0" borderId="228" xfId="1" applyNumberFormat="1" applyFont="1" applyBorder="1"/>
    <xf numFmtId="167" fontId="50" fillId="0" borderId="229" xfId="1" applyNumberFormat="1" applyFont="1" applyBorder="1"/>
    <xf numFmtId="43" fontId="50" fillId="0" borderId="109" xfId="1" applyNumberFormat="1" applyFont="1" applyBorder="1" applyAlignment="1">
      <alignment vertical="center"/>
    </xf>
    <xf numFmtId="43" fontId="50" fillId="0" borderId="10" xfId="1" applyNumberFormat="1" applyFont="1" applyBorder="1" applyAlignment="1">
      <alignment vertical="center"/>
    </xf>
    <xf numFmtId="43" fontId="50" fillId="0" borderId="10" xfId="1" applyNumberFormat="1" applyFont="1" applyBorder="1" applyAlignment="1">
      <alignment horizontal="right" vertical="center"/>
    </xf>
    <xf numFmtId="43" fontId="50" fillId="0" borderId="10" xfId="1" applyNumberFormat="1" applyFont="1" applyFill="1" applyBorder="1" applyAlignment="1">
      <alignment horizontal="right" vertical="center"/>
    </xf>
    <xf numFmtId="43" fontId="50" fillId="5" borderId="156" xfId="1" applyNumberFormat="1" applyFont="1" applyFill="1" applyBorder="1" applyAlignment="1">
      <alignment vertical="center"/>
    </xf>
    <xf numFmtId="43" fontId="50" fillId="5" borderId="109" xfId="1" applyNumberFormat="1" applyFont="1" applyFill="1" applyBorder="1" applyAlignment="1">
      <alignment vertical="center"/>
    </xf>
    <xf numFmtId="167" fontId="50" fillId="73" borderId="22" xfId="1" applyNumberFormat="1" applyFont="1" applyFill="1" applyBorder="1"/>
    <xf numFmtId="167" fontId="49" fillId="73" borderId="18" xfId="1" applyNumberFormat="1" applyFont="1" applyFill="1" applyBorder="1"/>
    <xf numFmtId="167" fontId="49" fillId="73" borderId="22" xfId="1" applyNumberFormat="1" applyFont="1" applyFill="1" applyBorder="1"/>
    <xf numFmtId="17" fontId="63" fillId="2" borderId="132" xfId="0" applyNumberFormat="1" applyFont="1" applyFill="1" applyBorder="1" applyAlignment="1">
      <alignment horizontal="center"/>
    </xf>
    <xf numFmtId="167" fontId="66" fillId="0" borderId="111" xfId="1" applyNumberFormat="1" applyFont="1" applyBorder="1"/>
    <xf numFmtId="167" fontId="66" fillId="0" borderId="41" xfId="1" applyNumberFormat="1" applyFont="1" applyBorder="1"/>
    <xf numFmtId="167" fontId="66" fillId="73" borderId="115" xfId="1" applyNumberFormat="1" applyFont="1" applyFill="1" applyBorder="1"/>
    <xf numFmtId="167" fontId="66" fillId="73" borderId="97" xfId="1" applyNumberFormat="1" applyFont="1" applyFill="1" applyBorder="1"/>
    <xf numFmtId="17" fontId="63" fillId="2" borderId="14" xfId="0" applyNumberFormat="1" applyFont="1" applyFill="1" applyBorder="1" applyAlignment="1">
      <alignment horizontal="center" vertical="center"/>
    </xf>
    <xf numFmtId="10" fontId="66" fillId="2" borderId="13" xfId="6" applyNumberFormat="1" applyFont="1" applyFill="1" applyBorder="1" applyAlignment="1">
      <alignment vertical="center"/>
    </xf>
    <xf numFmtId="10" fontId="50" fillId="73" borderId="156" xfId="6" applyNumberFormat="1" applyFont="1" applyFill="1" applyBorder="1"/>
    <xf numFmtId="10" fontId="50" fillId="73" borderId="104" xfId="6" applyNumberFormat="1" applyFont="1" applyFill="1" applyBorder="1"/>
    <xf numFmtId="10" fontId="50" fillId="6" borderId="210" xfId="6" applyNumberFormat="1" applyFont="1" applyFill="1" applyBorder="1"/>
    <xf numFmtId="10" fontId="50" fillId="6" borderId="168" xfId="6" applyNumberFormat="1" applyFont="1" applyFill="1" applyBorder="1"/>
    <xf numFmtId="17" fontId="115" fillId="2" borderId="139" xfId="0" applyNumberFormat="1" applyFont="1" applyFill="1" applyBorder="1" applyAlignment="1">
      <alignment horizontal="center"/>
    </xf>
    <xf numFmtId="17" fontId="115" fillId="2" borderId="130" xfId="0" applyNumberFormat="1" applyFont="1" applyFill="1" applyBorder="1" applyAlignment="1">
      <alignment horizontal="center"/>
    </xf>
    <xf numFmtId="9" fontId="108" fillId="0" borderId="148" xfId="6" applyNumberFormat="1" applyFont="1" applyBorder="1" applyAlignment="1">
      <alignment horizontal="center" vertical="center"/>
    </xf>
    <xf numFmtId="9" fontId="108" fillId="0" borderId="135" xfId="6" applyNumberFormat="1" applyFont="1" applyBorder="1" applyAlignment="1">
      <alignment horizontal="center" vertical="center"/>
    </xf>
    <xf numFmtId="10" fontId="108" fillId="0" borderId="143" xfId="6" applyNumberFormat="1" applyFont="1" applyBorder="1" applyAlignment="1">
      <alignment horizontal="center" vertical="center"/>
    </xf>
    <xf numFmtId="10" fontId="108" fillId="0" borderId="37" xfId="6" applyNumberFormat="1" applyFont="1" applyBorder="1" applyAlignment="1">
      <alignment horizontal="center" vertical="center"/>
    </xf>
    <xf numFmtId="9" fontId="108" fillId="0" borderId="113" xfId="6" applyNumberFormat="1" applyFont="1" applyBorder="1" applyAlignment="1">
      <alignment horizontal="center" vertical="center"/>
    </xf>
    <xf numFmtId="9" fontId="108" fillId="0" borderId="140" xfId="6" applyNumberFormat="1" applyFont="1" applyBorder="1" applyAlignment="1">
      <alignment horizontal="center" vertical="center"/>
    </xf>
    <xf numFmtId="10" fontId="108" fillId="0" borderId="148" xfId="6" applyNumberFormat="1" applyFont="1" applyBorder="1" applyAlignment="1">
      <alignment horizontal="center" vertical="center"/>
    </xf>
    <xf numFmtId="10" fontId="108" fillId="0" borderId="135" xfId="6" applyNumberFormat="1" applyFont="1" applyBorder="1" applyAlignment="1">
      <alignment horizontal="center" vertical="center"/>
    </xf>
    <xf numFmtId="17" fontId="170" fillId="71" borderId="120" xfId="0" applyNumberFormat="1" applyFont="1" applyFill="1" applyBorder="1" applyAlignment="1">
      <alignment horizontal="center" vertical="center" wrapText="1"/>
    </xf>
    <xf numFmtId="0" fontId="175" fillId="71" borderId="147" xfId="0" applyNumberFormat="1" applyFont="1" applyFill="1" applyBorder="1" applyAlignment="1">
      <alignment horizontal="right" vertical="center" wrapText="1"/>
    </xf>
    <xf numFmtId="0" fontId="175" fillId="71" borderId="150" xfId="0" applyNumberFormat="1" applyFont="1" applyFill="1" applyBorder="1" applyAlignment="1">
      <alignment horizontal="right" vertical="center" wrapText="1"/>
    </xf>
    <xf numFmtId="0" fontId="175" fillId="71" borderId="194" xfId="0" applyNumberFormat="1" applyFont="1" applyFill="1" applyBorder="1" applyAlignment="1">
      <alignment horizontal="right" vertical="center" wrapText="1"/>
    </xf>
    <xf numFmtId="0" fontId="173" fillId="71" borderId="155" xfId="0" applyFont="1" applyFill="1" applyBorder="1" applyAlignment="1">
      <alignment horizontal="right" vertical="center"/>
    </xf>
    <xf numFmtId="0" fontId="173" fillId="71" borderId="194" xfId="0" applyFont="1" applyFill="1" applyBorder="1" applyAlignment="1">
      <alignment horizontal="right" vertical="center"/>
    </xf>
    <xf numFmtId="0" fontId="173" fillId="71" borderId="147" xfId="0" applyFont="1" applyFill="1" applyBorder="1" applyAlignment="1">
      <alignment horizontal="right" vertical="center"/>
    </xf>
    <xf numFmtId="0" fontId="173" fillId="71" borderId="195" xfId="0" applyFont="1" applyFill="1" applyBorder="1" applyAlignment="1">
      <alignment horizontal="right" vertical="center"/>
    </xf>
    <xf numFmtId="0" fontId="175" fillId="5" borderId="20" xfId="0" applyNumberFormat="1" applyFont="1" applyFill="1" applyBorder="1" applyAlignment="1">
      <alignment horizontal="right" vertical="center" wrapText="1"/>
    </xf>
    <xf numFmtId="0" fontId="175" fillId="5" borderId="49" xfId="0" applyNumberFormat="1" applyFont="1" applyFill="1" applyBorder="1" applyAlignment="1">
      <alignment horizontal="right" vertical="center" wrapText="1"/>
    </xf>
    <xf numFmtId="0" fontId="173" fillId="5" borderId="20" xfId="0" applyFont="1" applyFill="1" applyBorder="1" applyAlignment="1">
      <alignment horizontal="right" vertical="center"/>
    </xf>
    <xf numFmtId="0" fontId="175" fillId="5" borderId="154" xfId="0" applyNumberFormat="1" applyFont="1" applyFill="1" applyBorder="1" applyAlignment="1">
      <alignment horizontal="right" vertical="center" wrapText="1"/>
    </xf>
    <xf numFmtId="0" fontId="175" fillId="5" borderId="35" xfId="0" applyNumberFormat="1" applyFont="1" applyFill="1" applyBorder="1" applyAlignment="1">
      <alignment horizontal="right" vertical="center" wrapText="1"/>
    </xf>
    <xf numFmtId="43" fontId="50" fillId="5" borderId="0" xfId="1" applyNumberFormat="1" applyFont="1" applyFill="1" applyBorder="1"/>
    <xf numFmtId="10" fontId="15" fillId="0" borderId="6" xfId="6" applyNumberFormat="1" applyFont="1" applyBorder="1" applyAlignment="1">
      <alignment horizontal="center" vertical="center"/>
    </xf>
    <xf numFmtId="43" fontId="50" fillId="0" borderId="45" xfId="1" applyNumberFormat="1" applyFont="1" applyBorder="1" applyAlignment="1">
      <alignment vertical="center"/>
    </xf>
    <xf numFmtId="43" fontId="50" fillId="0" borderId="210" xfId="1" applyNumberFormat="1" applyFont="1" applyBorder="1" applyAlignment="1">
      <alignment vertical="center"/>
    </xf>
    <xf numFmtId="43" fontId="50" fillId="0" borderId="168" xfId="1" applyNumberFormat="1" applyFont="1" applyBorder="1" applyAlignment="1">
      <alignment vertical="center"/>
    </xf>
    <xf numFmtId="43" fontId="50" fillId="5" borderId="168" xfId="1" applyNumberFormat="1" applyFont="1" applyFill="1" applyBorder="1" applyAlignment="1">
      <alignment vertical="center"/>
    </xf>
    <xf numFmtId="43" fontId="50" fillId="0" borderId="47" xfId="1" applyNumberFormat="1" applyFont="1" applyFill="1" applyBorder="1" applyAlignment="1">
      <alignment vertical="center"/>
    </xf>
    <xf numFmtId="43" fontId="50" fillId="0" borderId="199" xfId="1" applyNumberFormat="1" applyFont="1" applyFill="1" applyBorder="1" applyAlignment="1">
      <alignment vertical="center"/>
    </xf>
    <xf numFmtId="0" fontId="136" fillId="0" borderId="0" xfId="413" applyFont="1" applyBorder="1" applyAlignment="1">
      <alignment horizontal="center"/>
    </xf>
    <xf numFmtId="10" fontId="126" fillId="5" borderId="6" xfId="263" applyNumberFormat="1" applyFont="1" applyFill="1" applyBorder="1" applyAlignment="1">
      <alignment horizontal="left" vertical="center"/>
    </xf>
    <xf numFmtId="1" fontId="69" fillId="0" borderId="156" xfId="2" applyNumberFormat="1" applyFont="1" applyBorder="1" applyAlignment="1">
      <alignment horizontal="center" vertical="center"/>
    </xf>
    <xf numFmtId="1" fontId="69" fillId="0" borderId="104" xfId="2" applyNumberFormat="1" applyFont="1" applyBorder="1" applyAlignment="1">
      <alignment horizontal="center" vertical="center"/>
    </xf>
    <xf numFmtId="17" fontId="69" fillId="0" borderId="133" xfId="2" applyNumberFormat="1" applyFont="1" applyBorder="1" applyAlignment="1">
      <alignment horizontal="center" vertical="center"/>
    </xf>
    <xf numFmtId="17" fontId="69" fillId="0" borderId="134" xfId="2" applyNumberFormat="1" applyFont="1" applyBorder="1" applyAlignment="1">
      <alignment horizontal="center" vertical="center"/>
    </xf>
    <xf numFmtId="0" fontId="136" fillId="0" borderId="0" xfId="413" applyFont="1" applyBorder="1" applyAlignment="1">
      <alignment horizontal="center"/>
    </xf>
    <xf numFmtId="10" fontId="126" fillId="5" borderId="23" xfId="263" applyNumberFormat="1" applyFont="1" applyFill="1" applyBorder="1" applyAlignment="1">
      <alignment horizontal="left" vertical="center"/>
    </xf>
    <xf numFmtId="3" fontId="52" fillId="0" borderId="6" xfId="2" applyNumberFormat="1" applyFont="1" applyBorder="1" applyAlignment="1">
      <alignment vertical="center"/>
    </xf>
    <xf numFmtId="3" fontId="60" fillId="5" borderId="7" xfId="2" applyNumberFormat="1" applyFont="1" applyFill="1" applyBorder="1" applyAlignment="1">
      <alignment vertical="center"/>
    </xf>
    <xf numFmtId="3" fontId="60" fillId="0" borderId="7" xfId="2" applyNumberFormat="1" applyFont="1" applyFill="1" applyBorder="1" applyAlignment="1">
      <alignment vertical="center"/>
    </xf>
    <xf numFmtId="43" fontId="50" fillId="5" borderId="119" xfId="1" applyNumberFormat="1" applyFont="1" applyFill="1" applyBorder="1"/>
    <xf numFmtId="43" fontId="50" fillId="0" borderId="47" xfId="1" applyNumberFormat="1" applyFont="1" applyBorder="1"/>
    <xf numFmtId="43" fontId="50" fillId="0" borderId="178" xfId="1" applyNumberFormat="1" applyFont="1" applyBorder="1"/>
    <xf numFmtId="17" fontId="49" fillId="2" borderId="181" xfId="0" applyNumberFormat="1" applyFont="1" applyFill="1" applyBorder="1" applyAlignment="1">
      <alignment horizontal="center" vertical="center"/>
    </xf>
    <xf numFmtId="17" fontId="49" fillId="2" borderId="14" xfId="0" applyNumberFormat="1" applyFont="1" applyFill="1" applyBorder="1" applyAlignment="1">
      <alignment horizontal="center" vertical="center"/>
    </xf>
    <xf numFmtId="10" fontId="50" fillId="2" borderId="181" xfId="6" applyNumberFormat="1" applyFont="1" applyFill="1" applyBorder="1" applyAlignment="1">
      <alignment horizontal="right" vertical="center"/>
    </xf>
    <xf numFmtId="0" fontId="162" fillId="0" borderId="181" xfId="0" applyFont="1" applyBorder="1"/>
    <xf numFmtId="1" fontId="69" fillId="0" borderId="1" xfId="2" applyNumberFormat="1" applyFont="1" applyBorder="1" applyAlignment="1">
      <alignment horizontal="center" vertical="center"/>
    </xf>
    <xf numFmtId="1" fontId="69" fillId="0" borderId="110" xfId="2" applyNumberFormat="1" applyFont="1" applyBorder="1" applyAlignment="1">
      <alignment horizontal="center" vertical="center"/>
    </xf>
    <xf numFmtId="1" fontId="69" fillId="0" borderId="210" xfId="2" applyNumberFormat="1" applyFont="1" applyBorder="1" applyAlignment="1">
      <alignment horizontal="center" vertical="center"/>
    </xf>
    <xf numFmtId="1" fontId="69" fillId="0" borderId="168" xfId="2" applyNumberFormat="1" applyFont="1" applyBorder="1" applyAlignment="1">
      <alignment horizontal="center" vertical="center"/>
    </xf>
    <xf numFmtId="17" fontId="144" fillId="2" borderId="139" xfId="283" applyNumberFormat="1" applyFont="1" applyFill="1" applyBorder="1" applyAlignment="1">
      <alignment horizontal="center"/>
    </xf>
    <xf numFmtId="43" fontId="53" fillId="5" borderId="20" xfId="0" applyNumberFormat="1" applyFont="1" applyFill="1" applyBorder="1" applyAlignment="1">
      <alignment vertical="center"/>
    </xf>
    <xf numFmtId="43" fontId="53" fillId="5" borderId="23" xfId="0" applyNumberFormat="1" applyFont="1" applyFill="1" applyBorder="1" applyAlignment="1">
      <alignment vertical="center"/>
    </xf>
    <xf numFmtId="3" fontId="124" fillId="5" borderId="143" xfId="6" applyNumberFormat="1" applyFont="1" applyFill="1" applyBorder="1" applyAlignment="1">
      <alignment horizontal="center" vertical="center"/>
    </xf>
    <xf numFmtId="3" fontId="124" fillId="5" borderId="37" xfId="6" applyNumberFormat="1" applyFont="1" applyFill="1" applyBorder="1" applyAlignment="1">
      <alignment horizontal="center" vertical="center"/>
    </xf>
    <xf numFmtId="17" fontId="50" fillId="5" borderId="148" xfId="0" applyNumberFormat="1" applyFont="1" applyFill="1" applyBorder="1" applyAlignment="1">
      <alignment horizontal="center"/>
    </xf>
    <xf numFmtId="0" fontId="50" fillId="5" borderId="18" xfId="0" applyFont="1" applyFill="1" applyBorder="1"/>
    <xf numFmtId="167" fontId="163" fillId="0" borderId="0" xfId="1" applyNumberFormat="1" applyFont="1" applyBorder="1"/>
    <xf numFmtId="167" fontId="121" fillId="0" borderId="0" xfId="1" applyNumberFormat="1" applyFont="1" applyBorder="1"/>
    <xf numFmtId="17" fontId="163" fillId="2" borderId="134" xfId="0" applyNumberFormat="1" applyFont="1" applyFill="1" applyBorder="1" applyAlignment="1">
      <alignment horizontal="center" vertical="center"/>
    </xf>
    <xf numFmtId="17" fontId="163" fillId="2" borderId="136" xfId="0" applyNumberFormat="1" applyFont="1" applyFill="1" applyBorder="1" applyAlignment="1">
      <alignment horizontal="center" vertical="center"/>
    </xf>
    <xf numFmtId="17" fontId="163" fillId="2" borderId="133" xfId="0" applyNumberFormat="1" applyFont="1" applyFill="1" applyBorder="1" applyAlignment="1">
      <alignment horizontal="center" vertical="center"/>
    </xf>
    <xf numFmtId="0" fontId="50" fillId="0" borderId="0" xfId="0" applyFont="1"/>
    <xf numFmtId="0" fontId="50" fillId="0" borderId="0" xfId="0" applyFont="1" applyBorder="1"/>
    <xf numFmtId="4" fontId="141" fillId="5" borderId="148" xfId="356" applyNumberFormat="1" applyFont="1" applyFill="1" applyBorder="1" applyAlignment="1">
      <alignment horizontal="right" vertical="center"/>
    </xf>
    <xf numFmtId="4" fontId="141" fillId="5" borderId="143" xfId="356" applyNumberFormat="1" applyFont="1" applyFill="1" applyBorder="1" applyAlignment="1">
      <alignment horizontal="right" vertical="center"/>
    </xf>
    <xf numFmtId="4" fontId="141" fillId="5" borderId="86" xfId="356" applyNumberFormat="1" applyFont="1" applyFill="1" applyBorder="1" applyAlignment="1">
      <alignment horizontal="right" vertical="center"/>
    </xf>
    <xf numFmtId="4" fontId="141" fillId="5" borderId="192" xfId="356" applyNumberFormat="1" applyFont="1" applyFill="1" applyBorder="1" applyAlignment="1">
      <alignment horizontal="right" vertical="center"/>
    </xf>
    <xf numFmtId="17" fontId="71" fillId="76" borderId="13" xfId="0" applyNumberFormat="1" applyFont="1" applyFill="1" applyBorder="1" applyAlignment="1">
      <alignment horizontal="center"/>
    </xf>
    <xf numFmtId="43" fontId="148" fillId="0" borderId="96" xfId="0" applyNumberFormat="1" applyFont="1" applyBorder="1"/>
    <xf numFmtId="0" fontId="60" fillId="5" borderId="6" xfId="2" applyFont="1" applyFill="1" applyBorder="1"/>
    <xf numFmtId="0" fontId="60" fillId="5" borderId="7" xfId="2" applyFont="1" applyFill="1" applyBorder="1"/>
    <xf numFmtId="0" fontId="169" fillId="0" borderId="0" xfId="0" applyFont="1"/>
    <xf numFmtId="0" fontId="169" fillId="0" borderId="0" xfId="0" applyFont="1" applyBorder="1" applyAlignment="1">
      <alignment horizontal="left" vertical="center" wrapText="1"/>
    </xf>
    <xf numFmtId="3" fontId="173" fillId="0" borderId="0" xfId="0" applyNumberFormat="1" applyFont="1"/>
    <xf numFmtId="3" fontId="157" fillId="0" borderId="0" xfId="0" applyNumberFormat="1" applyFont="1"/>
    <xf numFmtId="0" fontId="157" fillId="5" borderId="113" xfId="0" applyFont="1" applyFill="1" applyBorder="1" applyAlignment="1">
      <alignment horizontal="left" vertical="center" wrapText="1"/>
    </xf>
    <xf numFmtId="0" fontId="157" fillId="5" borderId="140" xfId="0" applyFont="1" applyFill="1" applyBorder="1" applyAlignment="1">
      <alignment horizontal="left" vertical="center" wrapText="1"/>
    </xf>
    <xf numFmtId="0" fontId="173" fillId="5" borderId="140" xfId="0" applyFont="1" applyFill="1" applyBorder="1" applyAlignment="1">
      <alignment horizontal="left" vertical="center" wrapText="1"/>
    </xf>
    <xf numFmtId="0" fontId="173" fillId="5" borderId="196" xfId="0" applyFont="1" applyFill="1" applyBorder="1" applyAlignment="1">
      <alignment horizontal="left" vertical="center" wrapText="1"/>
    </xf>
    <xf numFmtId="0" fontId="173" fillId="5" borderId="6" xfId="0" applyFont="1" applyFill="1" applyBorder="1" applyAlignment="1">
      <alignment horizontal="right" vertical="center"/>
    </xf>
    <xf numFmtId="17" fontId="185" fillId="0" borderId="139" xfId="0" applyNumberFormat="1" applyFont="1" applyBorder="1" applyAlignment="1">
      <alignment horizontal="center" vertical="center" wrapText="1"/>
    </xf>
    <xf numFmtId="17" fontId="185" fillId="0" borderId="130" xfId="0" applyNumberFormat="1" applyFont="1" applyBorder="1" applyAlignment="1">
      <alignment horizontal="center" vertical="center" wrapText="1"/>
    </xf>
    <xf numFmtId="17" fontId="185" fillId="0" borderId="191" xfId="0" applyNumberFormat="1" applyFont="1" applyBorder="1" applyAlignment="1">
      <alignment horizontal="center" vertical="center" wrapText="1"/>
    </xf>
    <xf numFmtId="0" fontId="173" fillId="5" borderId="49" xfId="0" applyFont="1" applyFill="1" applyBorder="1" applyAlignment="1">
      <alignment horizontal="right" vertical="center"/>
    </xf>
    <xf numFmtId="0" fontId="173" fillId="5" borderId="18" xfId="0" applyFont="1" applyFill="1" applyBorder="1" applyAlignment="1">
      <alignment horizontal="right" vertical="center"/>
    </xf>
    <xf numFmtId="0" fontId="173" fillId="5" borderId="22" xfId="0" applyFont="1" applyFill="1" applyBorder="1" applyAlignment="1">
      <alignment horizontal="right" vertical="center"/>
    </xf>
    <xf numFmtId="167" fontId="49" fillId="0" borderId="19" xfId="1" applyNumberFormat="1" applyFont="1" applyBorder="1"/>
    <xf numFmtId="17" fontId="49" fillId="2" borderId="182" xfId="0" applyNumberFormat="1" applyFont="1" applyFill="1" applyBorder="1" applyAlignment="1">
      <alignment horizontal="center"/>
    </xf>
    <xf numFmtId="43" fontId="53" fillId="5" borderId="50" xfId="0" applyNumberFormat="1" applyFont="1" applyFill="1" applyBorder="1" applyAlignment="1">
      <alignment vertical="center"/>
    </xf>
    <xf numFmtId="0" fontId="173" fillId="5" borderId="103" xfId="0" applyFont="1" applyFill="1" applyBorder="1" applyAlignment="1">
      <alignment horizontal="left" vertical="center" wrapText="1"/>
    </xf>
    <xf numFmtId="10" fontId="126" fillId="5" borderId="21" xfId="263" applyNumberFormat="1" applyFont="1" applyFill="1" applyBorder="1" applyAlignment="1">
      <alignment horizontal="left" vertical="center"/>
    </xf>
    <xf numFmtId="10" fontId="126" fillId="5" borderId="113" xfId="417" applyNumberFormat="1" applyFont="1" applyFill="1" applyBorder="1" applyAlignment="1">
      <alignment horizontal="left" vertical="center"/>
    </xf>
    <xf numFmtId="10" fontId="126" fillId="5" borderId="140" xfId="417" applyNumberFormat="1" applyFont="1" applyFill="1" applyBorder="1" applyAlignment="1">
      <alignment horizontal="left" vertical="center"/>
    </xf>
    <xf numFmtId="10" fontId="126" fillId="5" borderId="196" xfId="417" applyNumberFormat="1" applyFont="1" applyFill="1" applyBorder="1" applyAlignment="1">
      <alignment horizontal="left" vertical="center"/>
    </xf>
    <xf numFmtId="10" fontId="126" fillId="0" borderId="22" xfId="413" applyNumberFormat="1" applyFont="1" applyBorder="1" applyAlignment="1">
      <alignment horizontal="left"/>
    </xf>
    <xf numFmtId="10" fontId="126" fillId="5" borderId="17" xfId="263" applyNumberFormat="1" applyFont="1" applyFill="1" applyBorder="1" applyAlignment="1">
      <alignment horizontal="left" vertical="center"/>
    </xf>
    <xf numFmtId="10" fontId="126" fillId="0" borderId="15" xfId="413" applyNumberFormat="1" applyFont="1" applyBorder="1" applyAlignment="1">
      <alignment horizontal="left"/>
    </xf>
    <xf numFmtId="43" fontId="50" fillId="5" borderId="235" xfId="1" applyNumberFormat="1" applyFont="1" applyFill="1" applyBorder="1"/>
    <xf numFmtId="43" fontId="50" fillId="5" borderId="112" xfId="1" applyNumberFormat="1" applyFont="1" applyFill="1" applyBorder="1"/>
    <xf numFmtId="43" fontId="50" fillId="5" borderId="95" xfId="1" applyNumberFormat="1" applyFont="1" applyFill="1" applyBorder="1"/>
    <xf numFmtId="43" fontId="50" fillId="5" borderId="94" xfId="1" applyNumberFormat="1" applyFont="1" applyFill="1" applyBorder="1"/>
    <xf numFmtId="43" fontId="50" fillId="0" borderId="15" xfId="1" applyNumberFormat="1" applyFont="1" applyBorder="1"/>
    <xf numFmtId="43" fontId="50" fillId="5" borderId="51" xfId="1" applyNumberFormat="1" applyFont="1" applyFill="1" applyBorder="1"/>
    <xf numFmtId="43" fontId="50" fillId="5" borderId="36" xfId="1" applyNumberFormat="1" applyFont="1" applyFill="1" applyBorder="1"/>
    <xf numFmtId="43" fontId="50" fillId="0" borderId="190" xfId="1" applyNumberFormat="1" applyFont="1" applyBorder="1"/>
    <xf numFmtId="0" fontId="121" fillId="0" borderId="0" xfId="0" applyFont="1" applyBorder="1" applyAlignment="1">
      <alignment horizontal="left"/>
    </xf>
    <xf numFmtId="173" fontId="181" fillId="5" borderId="0" xfId="6" applyNumberFormat="1" applyFont="1" applyFill="1" applyBorder="1" applyAlignment="1">
      <alignment horizontal="center"/>
    </xf>
    <xf numFmtId="10" fontId="181" fillId="5" borderId="0" xfId="6" applyNumberFormat="1" applyFont="1" applyFill="1" applyBorder="1" applyAlignment="1">
      <alignment horizontal="center"/>
    </xf>
    <xf numFmtId="43" fontId="50" fillId="5" borderId="221" xfId="1" applyNumberFormat="1" applyFont="1" applyFill="1" applyBorder="1"/>
    <xf numFmtId="167" fontId="52" fillId="0" borderId="0" xfId="1" applyNumberFormat="1" applyFont="1" applyBorder="1"/>
    <xf numFmtId="167" fontId="49" fillId="0" borderId="6" xfId="418" applyNumberFormat="1" applyFont="1" applyBorder="1" applyAlignment="1">
      <alignment horizontal="right" vertical="center" wrapText="1"/>
    </xf>
    <xf numFmtId="164" fontId="49" fillId="0" borderId="23" xfId="418" applyFont="1" applyBorder="1" applyAlignment="1">
      <alignment horizontal="right" vertical="center" wrapText="1"/>
    </xf>
    <xf numFmtId="164" fontId="49" fillId="0" borderId="6" xfId="418" applyFont="1" applyBorder="1" applyAlignment="1">
      <alignment horizontal="right" vertical="center" wrapText="1"/>
    </xf>
    <xf numFmtId="0" fontId="28" fillId="0" borderId="167" xfId="303" applyBorder="1" applyAlignment="1">
      <alignment horizontal="center"/>
    </xf>
    <xf numFmtId="0" fontId="28" fillId="0" borderId="22" xfId="303" applyBorder="1" applyAlignment="1">
      <alignment horizontal="center"/>
    </xf>
    <xf numFmtId="0" fontId="89" fillId="0" borderId="96" xfId="303" applyFont="1" applyBorder="1" applyAlignment="1">
      <alignment horizontal="center"/>
    </xf>
    <xf numFmtId="165" fontId="10" fillId="5" borderId="18" xfId="167" applyFont="1" applyFill="1" applyBorder="1"/>
    <xf numFmtId="0" fontId="18" fillId="0" borderId="0" xfId="353" applyBorder="1"/>
    <xf numFmtId="49" fontId="183" fillId="64" borderId="108" xfId="2" applyNumberFormat="1" applyFont="1" applyFill="1" applyBorder="1" applyAlignment="1">
      <alignment horizontal="center" vertical="center" wrapText="1" shrinkToFit="1"/>
    </xf>
    <xf numFmtId="0" fontId="183" fillId="64" borderId="181" xfId="2" applyFont="1" applyFill="1" applyBorder="1" applyAlignment="1">
      <alignment horizontal="center" vertical="center" wrapText="1" shrinkToFit="1"/>
    </xf>
    <xf numFmtId="49" fontId="183" fillId="64" borderId="181" xfId="2" applyNumberFormat="1" applyFont="1" applyFill="1" applyBorder="1" applyAlignment="1">
      <alignment horizontal="center" vertical="center" wrapText="1" shrinkToFit="1"/>
    </xf>
    <xf numFmtId="49" fontId="183" fillId="64" borderId="117" xfId="2" applyNumberFormat="1" applyFont="1" applyFill="1" applyBorder="1" applyAlignment="1">
      <alignment horizontal="center" vertical="center" wrapText="1" shrinkToFit="1"/>
    </xf>
    <xf numFmtId="43" fontId="49" fillId="0" borderId="121" xfId="1" applyNumberFormat="1" applyFont="1" applyFill="1" applyBorder="1"/>
    <xf numFmtId="0" fontId="169" fillId="0" borderId="130" xfId="0" applyFont="1" applyBorder="1" applyAlignment="1">
      <alignment horizontal="left"/>
    </xf>
    <xf numFmtId="0" fontId="169" fillId="0" borderId="37" xfId="0" applyFont="1" applyBorder="1" applyAlignment="1">
      <alignment horizontal="left"/>
    </xf>
    <xf numFmtId="0" fontId="169" fillId="0" borderId="140" xfId="0" applyFont="1" applyBorder="1" applyAlignment="1">
      <alignment horizontal="left"/>
    </xf>
    <xf numFmtId="17" fontId="50" fillId="0" borderId="148" xfId="0" applyNumberFormat="1" applyFont="1" applyBorder="1" applyAlignment="1">
      <alignment horizontal="center"/>
    </xf>
    <xf numFmtId="17" fontId="50" fillId="0" borderId="192" xfId="0" applyNumberFormat="1" applyFont="1" applyBorder="1" applyAlignment="1">
      <alignment horizontal="center"/>
    </xf>
    <xf numFmtId="1" fontId="69" fillId="0" borderId="199" xfId="2" applyNumberFormat="1" applyFont="1" applyBorder="1" applyAlignment="1">
      <alignment horizontal="center" vertical="center"/>
    </xf>
    <xf numFmtId="1" fontId="69" fillId="0" borderId="178" xfId="2" applyNumberFormat="1" applyFont="1" applyBorder="1" applyAlignment="1">
      <alignment horizontal="center" vertical="center"/>
    </xf>
    <xf numFmtId="1" fontId="69" fillId="0" borderId="184" xfId="2" applyNumberFormat="1" applyFont="1" applyBorder="1" applyAlignment="1">
      <alignment horizontal="center" vertical="center"/>
    </xf>
    <xf numFmtId="17" fontId="144" fillId="2" borderId="191" xfId="283" applyNumberFormat="1" applyFont="1" applyFill="1" applyBorder="1" applyAlignment="1">
      <alignment horizontal="center"/>
    </xf>
    <xf numFmtId="17" fontId="144" fillId="2" borderId="148" xfId="283" applyNumberFormat="1" applyFont="1" applyFill="1" applyBorder="1" applyAlignment="1">
      <alignment horizontal="center"/>
    </xf>
    <xf numFmtId="17" fontId="144" fillId="2" borderId="135" xfId="283" applyNumberFormat="1" applyFont="1" applyFill="1" applyBorder="1" applyAlignment="1">
      <alignment horizontal="center"/>
    </xf>
    <xf numFmtId="3" fontId="50" fillId="0" borderId="148" xfId="0" applyNumberFormat="1" applyFont="1" applyBorder="1"/>
    <xf numFmtId="3" fontId="50" fillId="0" borderId="179" xfId="0" applyNumberFormat="1" applyFont="1" applyBorder="1"/>
    <xf numFmtId="17" fontId="50" fillId="0" borderId="179" xfId="0" applyNumberFormat="1" applyFont="1" applyBorder="1" applyAlignment="1">
      <alignment horizontal="center"/>
    </xf>
    <xf numFmtId="0" fontId="175" fillId="5" borderId="50" xfId="0" applyNumberFormat="1" applyFont="1" applyFill="1" applyBorder="1" applyAlignment="1">
      <alignment horizontal="right" vertical="center" wrapText="1"/>
    </xf>
    <xf numFmtId="0" fontId="175" fillId="5" borderId="7" xfId="0" applyNumberFormat="1" applyFont="1" applyFill="1" applyBorder="1" applyAlignment="1">
      <alignment horizontal="right" vertical="center" wrapText="1"/>
    </xf>
    <xf numFmtId="0" fontId="175" fillId="5" borderId="27" xfId="0" applyNumberFormat="1" applyFont="1" applyFill="1" applyBorder="1" applyAlignment="1">
      <alignment horizontal="right" vertical="center" wrapText="1"/>
    </xf>
    <xf numFmtId="0" fontId="173" fillId="5" borderId="50" xfId="0" applyFont="1" applyFill="1" applyBorder="1" applyAlignment="1">
      <alignment horizontal="right" vertical="center"/>
    </xf>
    <xf numFmtId="0" fontId="173" fillId="5" borderId="7" xfId="0" applyFont="1" applyFill="1" applyBorder="1" applyAlignment="1">
      <alignment horizontal="right" vertical="center"/>
    </xf>
    <xf numFmtId="0" fontId="173" fillId="5" borderId="96" xfId="0" applyFont="1" applyFill="1" applyBorder="1" applyAlignment="1">
      <alignment horizontal="right" vertical="center"/>
    </xf>
    <xf numFmtId="3" fontId="176" fillId="0" borderId="48" xfId="0" applyNumberFormat="1" applyFont="1" applyBorder="1" applyAlignment="1">
      <alignment horizontal="right"/>
    </xf>
    <xf numFmtId="167" fontId="190" fillId="0" borderId="6" xfId="1" applyNumberFormat="1" applyFont="1" applyFill="1" applyBorder="1"/>
    <xf numFmtId="10" fontId="50" fillId="6" borderId="199" xfId="6" applyNumberFormat="1" applyFont="1" applyFill="1" applyBorder="1"/>
    <xf numFmtId="10" fontId="50" fillId="6" borderId="184" xfId="6" applyNumberFormat="1" applyFont="1" applyFill="1" applyBorder="1"/>
    <xf numFmtId="0" fontId="50" fillId="0" borderId="38" xfId="0" applyFont="1" applyBorder="1"/>
    <xf numFmtId="0" fontId="49" fillId="0" borderId="38" xfId="0" applyFont="1" applyBorder="1"/>
    <xf numFmtId="0" fontId="50" fillId="0" borderId="89" xfId="0" applyFont="1" applyBorder="1"/>
    <xf numFmtId="0" fontId="50" fillId="0" borderId="88" xfId="0" applyFont="1" applyBorder="1"/>
    <xf numFmtId="17" fontId="91" fillId="0" borderId="135" xfId="310" applyNumberFormat="1" applyFont="1" applyFill="1" applyBorder="1"/>
    <xf numFmtId="10" fontId="126" fillId="5" borderId="24" xfId="417" applyNumberFormat="1" applyFont="1" applyFill="1" applyBorder="1" applyAlignment="1">
      <alignment horizontal="left" vertical="center"/>
    </xf>
    <xf numFmtId="0" fontId="126" fillId="72" borderId="149" xfId="415" applyFont="1" applyFill="1" applyBorder="1" applyAlignment="1">
      <alignment horizontal="center" vertical="center"/>
    </xf>
    <xf numFmtId="10" fontId="126" fillId="5" borderId="106" xfId="417" applyNumberFormat="1" applyFont="1" applyFill="1" applyBorder="1" applyAlignment="1">
      <alignment horizontal="left" vertical="center"/>
    </xf>
    <xf numFmtId="10" fontId="126" fillId="5" borderId="140" xfId="263" applyNumberFormat="1" applyFont="1" applyFill="1" applyBorder="1" applyAlignment="1">
      <alignment horizontal="left" vertical="center"/>
    </xf>
    <xf numFmtId="10" fontId="126" fillId="5" borderId="144" xfId="263" applyNumberFormat="1" applyFont="1" applyFill="1" applyBorder="1" applyAlignment="1">
      <alignment horizontal="left" vertical="center"/>
    </xf>
    <xf numFmtId="0" fontId="126" fillId="72" borderId="181" xfId="415" applyFont="1" applyFill="1" applyBorder="1" applyAlignment="1">
      <alignment horizontal="center" vertical="center"/>
    </xf>
    <xf numFmtId="10" fontId="126" fillId="5" borderId="135" xfId="263" applyNumberFormat="1" applyFont="1" applyFill="1" applyBorder="1" applyAlignment="1">
      <alignment horizontal="left" vertical="center"/>
    </xf>
    <xf numFmtId="10" fontId="126" fillId="5" borderId="192" xfId="263" applyNumberFormat="1" applyFont="1" applyFill="1" applyBorder="1" applyAlignment="1">
      <alignment horizontal="left" vertical="center"/>
    </xf>
    <xf numFmtId="0" fontId="126" fillId="8" borderId="181" xfId="415" applyFont="1" applyFill="1" applyBorder="1" applyAlignment="1">
      <alignment horizontal="center" vertical="center"/>
    </xf>
    <xf numFmtId="10" fontId="126" fillId="5" borderId="148" xfId="263" applyNumberFormat="1" applyFont="1" applyFill="1" applyBorder="1" applyAlignment="1">
      <alignment horizontal="left" vertical="center"/>
    </xf>
    <xf numFmtId="10" fontId="124" fillId="0" borderId="135" xfId="413" applyNumberFormat="1" applyFont="1" applyBorder="1" applyAlignment="1">
      <alignment horizontal="left" vertical="center"/>
    </xf>
    <xf numFmtId="10" fontId="124" fillId="0" borderId="192" xfId="413" applyNumberFormat="1" applyFont="1" applyBorder="1" applyAlignment="1">
      <alignment horizontal="left" vertical="center"/>
    </xf>
    <xf numFmtId="10" fontId="51" fillId="5" borderId="148" xfId="417" applyNumberFormat="1" applyFont="1" applyFill="1" applyBorder="1" applyAlignment="1">
      <alignment horizontal="left" vertical="center"/>
    </xf>
    <xf numFmtId="10" fontId="51" fillId="5" borderId="135" xfId="417" applyNumberFormat="1" applyFont="1" applyFill="1" applyBorder="1" applyAlignment="1">
      <alignment horizontal="left" vertical="center"/>
    </xf>
    <xf numFmtId="0" fontId="126" fillId="72" borderId="181" xfId="415" applyFont="1" applyFill="1" applyBorder="1" applyAlignment="1">
      <alignment horizontal="center" vertical="center" wrapText="1"/>
    </xf>
    <xf numFmtId="0" fontId="126" fillId="72" borderId="149" xfId="415" applyFont="1" applyFill="1" applyBorder="1" applyAlignment="1">
      <alignment horizontal="center" vertical="center" wrapText="1"/>
    </xf>
    <xf numFmtId="0" fontId="161" fillId="0" borderId="120" xfId="0" applyFont="1" applyFill="1" applyBorder="1" applyAlignment="1">
      <alignment horizontal="left"/>
    </xf>
    <xf numFmtId="0" fontId="161" fillId="0" borderId="121" xfId="0" applyFont="1" applyFill="1" applyBorder="1" applyAlignment="1">
      <alignment horizontal="left"/>
    </xf>
    <xf numFmtId="0" fontId="161" fillId="0" borderId="122" xfId="0" applyFont="1" applyFill="1" applyBorder="1" applyAlignment="1">
      <alignment horizontal="left"/>
    </xf>
    <xf numFmtId="0" fontId="125" fillId="0" borderId="0" xfId="0" applyFont="1" applyBorder="1" applyAlignment="1">
      <alignment horizontal="left" vertical="center"/>
    </xf>
    <xf numFmtId="0" fontId="71" fillId="0" borderId="0" xfId="0" applyFont="1" applyFill="1" applyBorder="1" applyAlignment="1">
      <alignment vertical="center" wrapText="1"/>
    </xf>
    <xf numFmtId="0" fontId="50" fillId="0" borderId="0" xfId="0" applyFont="1" applyFill="1"/>
    <xf numFmtId="0" fontId="49" fillId="5" borderId="0" xfId="0" applyFont="1" applyFill="1" applyBorder="1" applyAlignment="1">
      <alignment horizontal="left" vertical="center"/>
    </xf>
    <xf numFmtId="0" fontId="51" fillId="0" borderId="0" xfId="0" applyFont="1" applyFill="1" applyBorder="1" applyAlignment="1">
      <alignment horizontal="left" vertical="center"/>
    </xf>
    <xf numFmtId="17" fontId="49" fillId="0" borderId="0" xfId="0" applyNumberFormat="1" applyFont="1" applyFill="1" applyBorder="1" applyAlignment="1">
      <alignment horizontal="center" vertical="center"/>
    </xf>
    <xf numFmtId="10" fontId="50" fillId="0" borderId="0" xfId="6" applyNumberFormat="1" applyFont="1" applyFill="1" applyBorder="1" applyAlignment="1">
      <alignment horizontal="right" vertical="center"/>
    </xf>
    <xf numFmtId="43" fontId="50" fillId="0" borderId="0" xfId="0" applyNumberFormat="1" applyFont="1" applyFill="1" applyBorder="1"/>
    <xf numFmtId="186" fontId="122" fillId="0" borderId="0" xfId="0" applyNumberFormat="1" applyFont="1" applyFill="1"/>
    <xf numFmtId="0" fontId="50" fillId="0" borderId="0" xfId="0" applyFont="1" applyFill="1" applyBorder="1"/>
    <xf numFmtId="43" fontId="115" fillId="0" borderId="113" xfId="1" applyNumberFormat="1" applyFont="1" applyBorder="1"/>
    <xf numFmtId="43" fontId="148" fillId="0" borderId="140" xfId="0" applyNumberFormat="1" applyFont="1" applyBorder="1"/>
    <xf numFmtId="43" fontId="182" fillId="5" borderId="149" xfId="1" applyNumberFormat="1" applyFont="1" applyFill="1" applyBorder="1"/>
    <xf numFmtId="17" fontId="71" fillId="76" borderId="181" xfId="0" applyNumberFormat="1" applyFont="1" applyFill="1" applyBorder="1" applyAlignment="1">
      <alignment horizontal="center"/>
    </xf>
    <xf numFmtId="173" fontId="181" fillId="5" borderId="192" xfId="6" applyNumberFormat="1" applyFont="1" applyFill="1" applyBorder="1" applyAlignment="1">
      <alignment horizontal="center"/>
    </xf>
    <xf numFmtId="17" fontId="71" fillId="76" borderId="149" xfId="0" applyNumberFormat="1" applyFont="1" applyFill="1" applyBorder="1" applyAlignment="1">
      <alignment horizontal="center"/>
    </xf>
    <xf numFmtId="43" fontId="115" fillId="0" borderId="148" xfId="1" applyNumberFormat="1" applyFont="1" applyBorder="1"/>
    <xf numFmtId="43" fontId="148" fillId="0" borderId="135" xfId="0" applyNumberFormat="1" applyFont="1" applyBorder="1"/>
    <xf numFmtId="43" fontId="182" fillId="5" borderId="181" xfId="1" applyNumberFormat="1" applyFont="1" applyFill="1" applyBorder="1"/>
    <xf numFmtId="10" fontId="182" fillId="5" borderId="106" xfId="6" applyNumberFormat="1" applyFont="1" applyFill="1" applyBorder="1" applyAlignment="1">
      <alignment horizontal="center"/>
    </xf>
    <xf numFmtId="10" fontId="181" fillId="5" borderId="144" xfId="6" applyNumberFormat="1" applyFont="1" applyFill="1" applyBorder="1" applyAlignment="1">
      <alignment horizontal="center"/>
    </xf>
    <xf numFmtId="17" fontId="71" fillId="76" borderId="25" xfId="0" applyNumberFormat="1" applyFont="1" applyFill="1" applyBorder="1" applyAlignment="1">
      <alignment horizontal="center"/>
    </xf>
    <xf numFmtId="43" fontId="115" fillId="0" borderId="143" xfId="1" applyNumberFormat="1" applyFont="1" applyBorder="1"/>
    <xf numFmtId="43" fontId="148" fillId="0" borderId="37" xfId="0" applyNumberFormat="1" applyFont="1" applyBorder="1"/>
    <xf numFmtId="43" fontId="148" fillId="0" borderId="196" xfId="0" applyNumberFormat="1" applyFont="1" applyBorder="1"/>
    <xf numFmtId="43" fontId="148" fillId="0" borderId="179" xfId="0" applyNumberFormat="1" applyFont="1" applyBorder="1"/>
    <xf numFmtId="10" fontId="182" fillId="5" borderId="188" xfId="6" applyNumberFormat="1" applyFont="1" applyFill="1" applyBorder="1" applyAlignment="1">
      <alignment horizontal="center"/>
    </xf>
    <xf numFmtId="10" fontId="181" fillId="5" borderId="192" xfId="6" applyNumberFormat="1" applyFont="1" applyFill="1" applyBorder="1" applyAlignment="1">
      <alignment horizontal="center"/>
    </xf>
    <xf numFmtId="0" fontId="51" fillId="2" borderId="23" xfId="0" applyFont="1" applyFill="1" applyBorder="1" applyAlignment="1">
      <alignment horizontal="left" vertical="center"/>
    </xf>
    <xf numFmtId="0" fontId="49" fillId="5" borderId="37" xfId="7" applyFont="1" applyFill="1" applyBorder="1" applyAlignment="1">
      <alignment horizontal="left" vertical="center" wrapText="1"/>
    </xf>
    <xf numFmtId="0" fontId="9" fillId="0" borderId="0" xfId="357" applyFont="1"/>
    <xf numFmtId="0" fontId="115" fillId="0" borderId="0" xfId="2" applyFont="1" applyAlignment="1">
      <alignment vertical="center"/>
    </xf>
    <xf numFmtId="0" fontId="115" fillId="0" borderId="0" xfId="2" applyFont="1" applyFill="1" applyBorder="1" applyAlignment="1">
      <alignment horizontal="left" vertical="center" wrapText="1"/>
    </xf>
    <xf numFmtId="0" fontId="115" fillId="0" borderId="0" xfId="2" applyFont="1" applyBorder="1" applyAlignment="1">
      <alignment vertical="center"/>
    </xf>
    <xf numFmtId="0" fontId="194" fillId="0" borderId="0" xfId="357" applyFont="1" applyBorder="1" applyAlignment="1">
      <alignment horizontal="center"/>
    </xf>
    <xf numFmtId="4" fontId="9" fillId="0" borderId="6" xfId="357" applyNumberFormat="1" applyFont="1" applyBorder="1"/>
    <xf numFmtId="0" fontId="9" fillId="0" borderId="0" xfId="357" applyFont="1" applyBorder="1"/>
    <xf numFmtId="0" fontId="9" fillId="0" borderId="0" xfId="357" applyFont="1" applyFill="1" applyBorder="1"/>
    <xf numFmtId="4" fontId="9" fillId="0" borderId="0" xfId="357" applyNumberFormat="1" applyFont="1" applyFill="1" applyBorder="1"/>
    <xf numFmtId="0" fontId="9" fillId="0" borderId="0" xfId="357" applyFont="1" applyFill="1"/>
    <xf numFmtId="2" fontId="9" fillId="0" borderId="0" xfId="357" applyNumberFormat="1" applyFont="1"/>
    <xf numFmtId="4" fontId="9" fillId="0" borderId="6" xfId="285" applyNumberFormat="1" applyFont="1" applyBorder="1"/>
    <xf numFmtId="180" fontId="9" fillId="0" borderId="6" xfId="357" applyNumberFormat="1" applyFont="1" applyBorder="1"/>
    <xf numFmtId="165" fontId="9" fillId="0" borderId="6" xfId="167" applyFont="1" applyBorder="1"/>
    <xf numFmtId="180" fontId="75" fillId="0" borderId="6" xfId="357" applyNumberFormat="1" applyFont="1" applyBorder="1"/>
    <xf numFmtId="180" fontId="9" fillId="5" borderId="6" xfId="357" applyNumberFormat="1" applyFont="1" applyFill="1" applyBorder="1"/>
    <xf numFmtId="4" fontId="9" fillId="5" borderId="6" xfId="357" applyNumberFormat="1" applyFont="1" applyFill="1" applyBorder="1"/>
    <xf numFmtId="165" fontId="9" fillId="5" borderId="6" xfId="167" applyFont="1" applyFill="1" applyBorder="1"/>
    <xf numFmtId="10" fontId="9" fillId="0" borderId="6" xfId="6" applyNumberFormat="1" applyFont="1" applyBorder="1"/>
    <xf numFmtId="4" fontId="9" fillId="0" borderId="0" xfId="357" applyNumberFormat="1" applyFont="1"/>
    <xf numFmtId="0" fontId="122" fillId="0" borderId="0" xfId="0" applyFont="1"/>
    <xf numFmtId="4" fontId="9" fillId="0" borderId="6" xfId="285" applyNumberFormat="1" applyFont="1" applyFill="1" applyBorder="1"/>
    <xf numFmtId="4" fontId="9" fillId="0" borderId="7" xfId="285" applyNumberFormat="1" applyFont="1" applyBorder="1"/>
    <xf numFmtId="0" fontId="9" fillId="0" borderId="14" xfId="357" applyFont="1" applyBorder="1"/>
    <xf numFmtId="180" fontId="9" fillId="0" borderId="0" xfId="6" applyNumberFormat="1" applyFont="1"/>
    <xf numFmtId="10" fontId="9" fillId="0" borderId="0" xfId="6" applyNumberFormat="1" applyFont="1"/>
    <xf numFmtId="10" fontId="9" fillId="0" borderId="0" xfId="357" applyNumberFormat="1" applyFont="1"/>
    <xf numFmtId="0" fontId="122" fillId="7" borderId="0" xfId="0" applyFont="1" applyFill="1" applyBorder="1" applyAlignment="1">
      <alignment horizontal="center"/>
    </xf>
    <xf numFmtId="0" fontId="9" fillId="0" borderId="6" xfId="357" applyFont="1" applyBorder="1"/>
    <xf numFmtId="0" fontId="122" fillId="0" borderId="0" xfId="0" applyFont="1" applyBorder="1"/>
    <xf numFmtId="4" fontId="9" fillId="0" borderId="22" xfId="357" applyNumberFormat="1" applyFont="1" applyBorder="1"/>
    <xf numFmtId="0" fontId="195" fillId="10" borderId="139" xfId="351" applyFont="1" applyFill="1" applyBorder="1" applyAlignment="1">
      <alignment horizontal="centerContinuous" vertical="center" wrapText="1"/>
    </xf>
    <xf numFmtId="0" fontId="195" fillId="10" borderId="143" xfId="351" applyFont="1" applyFill="1" applyBorder="1" applyAlignment="1">
      <alignment horizontal="centerContinuous" vertical="center"/>
    </xf>
    <xf numFmtId="0" fontId="195" fillId="10" borderId="139" xfId="351" applyFont="1" applyFill="1" applyBorder="1" applyAlignment="1">
      <alignment horizontal="centerContinuous" vertical="center"/>
    </xf>
    <xf numFmtId="0" fontId="148" fillId="10" borderId="143" xfId="351" applyFont="1" applyFill="1" applyBorder="1" applyAlignment="1">
      <alignment horizontal="centerContinuous" vertical="center"/>
    </xf>
    <xf numFmtId="0" fontId="148" fillId="10" borderId="113" xfId="351" applyFont="1" applyFill="1" applyBorder="1" applyAlignment="1">
      <alignment horizontal="centerContinuous" vertical="center"/>
    </xf>
    <xf numFmtId="0" fontId="9" fillId="0" borderId="0" xfId="351" applyFont="1"/>
    <xf numFmtId="0" fontId="197" fillId="0" borderId="30" xfId="351" applyFont="1" applyBorder="1"/>
    <xf numFmtId="0" fontId="148" fillId="0" borderId="0" xfId="351" applyFont="1" applyBorder="1"/>
    <xf numFmtId="0" fontId="115" fillId="2" borderId="6" xfId="2" applyFont="1" applyFill="1" applyBorder="1" applyAlignment="1">
      <alignment horizontal="center" vertical="center" wrapText="1"/>
    </xf>
    <xf numFmtId="9" fontId="115" fillId="0" borderId="6" xfId="352" applyFont="1" applyBorder="1" applyAlignment="1">
      <alignment horizontal="right" vertical="center" wrapText="1"/>
    </xf>
    <xf numFmtId="10" fontId="115" fillId="0" borderId="6" xfId="352" applyNumberFormat="1" applyFont="1" applyBorder="1" applyAlignment="1">
      <alignment horizontal="right" vertical="center" wrapText="1"/>
    </xf>
    <xf numFmtId="10" fontId="198" fillId="5" borderId="6" xfId="6" applyNumberFormat="1" applyFont="1" applyFill="1" applyBorder="1" applyAlignment="1">
      <alignment horizontal="right" vertical="center" wrapText="1"/>
    </xf>
    <xf numFmtId="0" fontId="197" fillId="0" borderId="0" xfId="351" applyFont="1" applyBorder="1"/>
    <xf numFmtId="0" fontId="115" fillId="0" borderId="0" xfId="2" applyFont="1" applyBorder="1"/>
    <xf numFmtId="0" fontId="115" fillId="0" borderId="30" xfId="2" applyFont="1" applyBorder="1" applyAlignment="1">
      <alignment horizontal="left" vertical="center" wrapText="1"/>
    </xf>
    <xf numFmtId="0" fontId="115" fillId="0" borderId="0" xfId="2" applyFont="1" applyBorder="1" applyAlignment="1">
      <alignment horizontal="left" vertical="center" wrapText="1"/>
    </xf>
    <xf numFmtId="0" fontId="115" fillId="0" borderId="33" xfId="2" applyFont="1" applyBorder="1" applyAlignment="1">
      <alignment horizontal="left" vertical="center" wrapText="1"/>
    </xf>
    <xf numFmtId="0" fontId="115" fillId="2" borderId="6" xfId="2" applyFont="1" applyFill="1" applyBorder="1" applyAlignment="1">
      <alignment horizontal="center"/>
    </xf>
    <xf numFmtId="0" fontId="115" fillId="0" borderId="35" xfId="2" applyFont="1" applyBorder="1"/>
    <xf numFmtId="0" fontId="115" fillId="0" borderId="37" xfId="2" applyFont="1" applyBorder="1" applyAlignment="1"/>
    <xf numFmtId="0" fontId="115" fillId="0" borderId="31" xfId="2" applyFont="1" applyBorder="1" applyAlignment="1"/>
    <xf numFmtId="0" fontId="115" fillId="0" borderId="0" xfId="2" applyFont="1" applyFill="1" applyBorder="1"/>
    <xf numFmtId="0" fontId="198" fillId="0" borderId="0" xfId="2" applyFont="1" applyFill="1" applyBorder="1" applyAlignment="1">
      <alignment horizontal="center" vertical="center" wrapText="1"/>
    </xf>
    <xf numFmtId="0" fontId="115" fillId="0" borderId="0" xfId="2" applyFont="1" applyFill="1" applyBorder="1" applyAlignment="1">
      <alignment horizontal="center" vertical="center" wrapText="1"/>
    </xf>
    <xf numFmtId="3" fontId="198" fillId="0" borderId="0" xfId="2" applyNumberFormat="1" applyFont="1" applyFill="1" applyBorder="1" applyAlignment="1">
      <alignment horizontal="right" vertical="center" wrapText="1"/>
    </xf>
    <xf numFmtId="3" fontId="115" fillId="0" borderId="0" xfId="2" applyNumberFormat="1" applyFont="1" applyFill="1" applyBorder="1" applyAlignment="1">
      <alignment horizontal="right" vertical="center" wrapText="1"/>
    </xf>
    <xf numFmtId="10" fontId="115" fillId="0" borderId="0" xfId="352" applyNumberFormat="1" applyFont="1" applyFill="1" applyBorder="1" applyAlignment="1">
      <alignment horizontal="right" vertical="center" wrapText="1"/>
    </xf>
    <xf numFmtId="169" fontId="115" fillId="0" borderId="0" xfId="2" applyNumberFormat="1" applyFont="1" applyBorder="1"/>
    <xf numFmtId="183" fontId="115" fillId="0" borderId="0" xfId="2" applyNumberFormat="1" applyFont="1"/>
    <xf numFmtId="0" fontId="121" fillId="0" borderId="0" xfId="0" applyFont="1"/>
    <xf numFmtId="0" fontId="115" fillId="0" borderId="0" xfId="0" applyFont="1" applyBorder="1" applyAlignment="1">
      <alignment vertical="center"/>
    </xf>
    <xf numFmtId="0" fontId="115" fillId="0" borderId="0" xfId="0" applyFont="1" applyAlignment="1">
      <alignment vertical="center"/>
    </xf>
    <xf numFmtId="0" fontId="129" fillId="2" borderId="130" xfId="0" applyFont="1" applyFill="1" applyBorder="1" applyAlignment="1">
      <alignment vertical="center"/>
    </xf>
    <xf numFmtId="0" fontId="115" fillId="0" borderId="0" xfId="0" applyFont="1" applyBorder="1"/>
    <xf numFmtId="0" fontId="115" fillId="0" borderId="0" xfId="0" applyFont="1" applyBorder="1" applyAlignment="1">
      <alignment horizontal="left" indent="11"/>
    </xf>
    <xf numFmtId="14" fontId="115" fillId="0" borderId="0" xfId="0" applyNumberFormat="1" applyFont="1" applyAlignment="1">
      <alignment vertical="center"/>
    </xf>
    <xf numFmtId="167" fontId="121" fillId="0" borderId="0" xfId="0" applyNumberFormat="1" applyFont="1" applyBorder="1"/>
    <xf numFmtId="9" fontId="121" fillId="0" borderId="0" xfId="0" applyNumberFormat="1" applyFont="1"/>
    <xf numFmtId="0" fontId="199" fillId="0" borderId="0" xfId="0" applyFont="1"/>
    <xf numFmtId="0" fontId="199" fillId="0" borderId="0" xfId="0" applyFont="1" applyBorder="1"/>
    <xf numFmtId="0" fontId="163" fillId="0" borderId="0" xfId="0" applyFont="1" applyBorder="1" applyAlignment="1">
      <alignment vertical="center"/>
    </xf>
    <xf numFmtId="0" fontId="163" fillId="0" borderId="0" xfId="0" applyFont="1" applyAlignment="1">
      <alignment vertical="center"/>
    </xf>
    <xf numFmtId="0" fontId="151" fillId="2" borderId="130" xfId="0" applyFont="1" applyFill="1" applyBorder="1" applyAlignment="1">
      <alignment vertical="center"/>
    </xf>
    <xf numFmtId="0" fontId="163" fillId="2" borderId="37" xfId="0" applyFont="1" applyFill="1" applyBorder="1" applyAlignment="1">
      <alignment vertical="center"/>
    </xf>
    <xf numFmtId="0" fontId="163" fillId="2" borderId="0" xfId="0" applyFont="1" applyFill="1" applyBorder="1" applyAlignment="1">
      <alignment vertical="center"/>
    </xf>
    <xf numFmtId="0" fontId="163" fillId="0" borderId="0" xfId="0" applyFont="1" applyBorder="1"/>
    <xf numFmtId="0" fontId="163" fillId="0" borderId="0" xfId="0" applyFont="1" applyBorder="1" applyAlignment="1">
      <alignment horizontal="left" indent="11"/>
    </xf>
    <xf numFmtId="14" fontId="163" fillId="0" borderId="0" xfId="0" applyNumberFormat="1" applyFont="1" applyAlignment="1">
      <alignment vertical="center"/>
    </xf>
    <xf numFmtId="0" fontId="151" fillId="2" borderId="152" xfId="0" applyFont="1" applyFill="1" applyBorder="1" applyAlignment="1">
      <alignment horizontal="left" vertical="center"/>
    </xf>
    <xf numFmtId="0" fontId="163" fillId="2" borderId="86" xfId="0" applyFont="1" applyFill="1" applyBorder="1" applyAlignment="1">
      <alignment horizontal="left" vertical="center"/>
    </xf>
    <xf numFmtId="0" fontId="163" fillId="10" borderId="181" xfId="0" applyFont="1" applyFill="1" applyBorder="1" applyAlignment="1">
      <alignment horizontal="center" vertical="center" wrapText="1"/>
    </xf>
    <xf numFmtId="0" fontId="163" fillId="10" borderId="48" xfId="0" applyFont="1" applyFill="1" applyBorder="1" applyAlignment="1">
      <alignment horizontal="center" vertical="center" wrapText="1"/>
    </xf>
    <xf numFmtId="0" fontId="163" fillId="10" borderId="13" xfId="0" applyFont="1" applyFill="1" applyBorder="1" applyAlignment="1">
      <alignment horizontal="center" vertical="center" wrapText="1"/>
    </xf>
    <xf numFmtId="0" fontId="163" fillId="10" borderId="107" xfId="0" applyFont="1" applyFill="1" applyBorder="1" applyAlignment="1">
      <alignment horizontal="center" vertical="center" wrapText="1"/>
    </xf>
    <xf numFmtId="0" fontId="163" fillId="10" borderId="14" xfId="0" applyFont="1" applyFill="1" applyBorder="1" applyAlignment="1">
      <alignment horizontal="center" vertical="center" wrapText="1"/>
    </xf>
    <xf numFmtId="0" fontId="163" fillId="10" borderId="12" xfId="0" applyFont="1" applyFill="1" applyBorder="1" applyAlignment="1">
      <alignment horizontal="center" vertical="center" wrapText="1"/>
    </xf>
    <xf numFmtId="17" fontId="163" fillId="2" borderId="133" xfId="0" applyNumberFormat="1" applyFont="1" applyFill="1" applyBorder="1" applyAlignment="1">
      <alignment horizontal="center"/>
    </xf>
    <xf numFmtId="167" fontId="174" fillId="0" borderId="110" xfId="1" applyNumberFormat="1" applyFont="1" applyBorder="1"/>
    <xf numFmtId="167" fontId="174" fillId="0" borderId="111" xfId="1" applyNumberFormat="1" applyFont="1" applyBorder="1"/>
    <xf numFmtId="167" fontId="174" fillId="0" borderId="109" xfId="1" applyNumberFormat="1" applyFont="1" applyBorder="1"/>
    <xf numFmtId="167" fontId="163" fillId="0" borderId="109" xfId="1" applyNumberFormat="1" applyFont="1" applyBorder="1"/>
    <xf numFmtId="167" fontId="201" fillId="0" borderId="111" xfId="1" applyNumberFormat="1" applyFont="1" applyBorder="1"/>
    <xf numFmtId="167" fontId="174" fillId="0" borderId="148" xfId="1" applyNumberFormat="1" applyFont="1" applyBorder="1"/>
    <xf numFmtId="167" fontId="174" fillId="0" borderId="0" xfId="1" applyNumberFormat="1" applyFont="1" applyBorder="1"/>
    <xf numFmtId="43" fontId="174" fillId="0" borderId="148" xfId="1" applyNumberFormat="1" applyFont="1" applyBorder="1"/>
    <xf numFmtId="17" fontId="163" fillId="2" borderId="134" xfId="0" applyNumberFormat="1" applyFont="1" applyFill="1" applyBorder="1" applyAlignment="1">
      <alignment horizontal="center"/>
    </xf>
    <xf numFmtId="167" fontId="163" fillId="0" borderId="10" xfId="1" applyNumberFormat="1" applyFont="1" applyBorder="1"/>
    <xf numFmtId="167" fontId="201" fillId="0" borderId="41" xfId="1" applyNumberFormat="1" applyFont="1" applyBorder="1"/>
    <xf numFmtId="167" fontId="174" fillId="0" borderId="135" xfId="1" applyNumberFormat="1" applyFont="1" applyBorder="1"/>
    <xf numFmtId="43" fontId="174" fillId="0" borderId="135" xfId="1" applyNumberFormat="1" applyFont="1" applyBorder="1"/>
    <xf numFmtId="167" fontId="174" fillId="0" borderId="178" xfId="1" applyNumberFormat="1" applyFont="1" applyBorder="1"/>
    <xf numFmtId="167" fontId="201" fillId="0" borderId="44" xfId="1" applyNumberFormat="1" applyFont="1" applyBorder="1"/>
    <xf numFmtId="167" fontId="174" fillId="0" borderId="179" xfId="1" applyNumberFormat="1" applyFont="1" applyBorder="1"/>
    <xf numFmtId="167" fontId="200" fillId="0" borderId="188" xfId="1" applyNumberFormat="1" applyFont="1" applyBorder="1"/>
    <xf numFmtId="43" fontId="200" fillId="0" borderId="188" xfId="1" applyNumberFormat="1" applyFont="1" applyBorder="1"/>
    <xf numFmtId="167" fontId="174" fillId="0" borderId="210" xfId="1" applyNumberFormat="1" applyFont="1" applyBorder="1"/>
    <xf numFmtId="167" fontId="163" fillId="0" borderId="111" xfId="1" applyNumberFormat="1" applyFont="1" applyBorder="1"/>
    <xf numFmtId="167" fontId="169" fillId="0" borderId="210" xfId="418" applyNumberFormat="1" applyFont="1" applyBorder="1"/>
    <xf numFmtId="167" fontId="187" fillId="0" borderId="110" xfId="418" applyNumberFormat="1" applyFont="1" applyBorder="1"/>
    <xf numFmtId="167" fontId="187" fillId="0" borderId="109" xfId="418" applyNumberFormat="1" applyFont="1" applyBorder="1"/>
    <xf numFmtId="167" fontId="187" fillId="0" borderId="111" xfId="418" applyNumberFormat="1" applyFont="1" applyBorder="1"/>
    <xf numFmtId="167" fontId="178" fillId="0" borderId="135" xfId="1" applyNumberFormat="1" applyFont="1" applyBorder="1"/>
    <xf numFmtId="164" fontId="169" fillId="0" borderId="1" xfId="418" applyFont="1" applyBorder="1" applyAlignment="1">
      <alignment horizontal="center" vertical="center"/>
    </xf>
    <xf numFmtId="164" fontId="169" fillId="0" borderId="26" xfId="418" applyFont="1" applyBorder="1" applyAlignment="1">
      <alignment horizontal="center" vertical="center"/>
    </xf>
    <xf numFmtId="164" fontId="169" fillId="0" borderId="186" xfId="418" applyFont="1" applyBorder="1" applyAlignment="1">
      <alignment horizontal="center" vertical="center"/>
    </xf>
    <xf numFmtId="164" fontId="202" fillId="0" borderId="36" xfId="418" applyFont="1" applyBorder="1" applyAlignment="1">
      <alignment horizontal="center" vertical="center" wrapText="1"/>
    </xf>
    <xf numFmtId="164" fontId="187" fillId="0" borderId="26" xfId="418" applyFont="1" applyBorder="1" applyAlignment="1">
      <alignment horizontal="center" vertical="center"/>
    </xf>
    <xf numFmtId="43" fontId="178" fillId="0" borderId="148" xfId="1" applyNumberFormat="1" applyFont="1" applyBorder="1"/>
    <xf numFmtId="167" fontId="169" fillId="0" borderId="168" xfId="418" applyNumberFormat="1" applyFont="1" applyBorder="1"/>
    <xf numFmtId="167" fontId="187" fillId="0" borderId="1" xfId="418" applyNumberFormat="1" applyFont="1" applyBorder="1"/>
    <xf numFmtId="167" fontId="187" fillId="0" borderId="10" xfId="418" applyNumberFormat="1" applyFont="1" applyBorder="1"/>
    <xf numFmtId="167" fontId="187" fillId="0" borderId="41" xfId="418" applyNumberFormat="1" applyFont="1" applyBorder="1"/>
    <xf numFmtId="164" fontId="187" fillId="0" borderId="168" xfId="418" applyFont="1" applyBorder="1" applyAlignment="1">
      <alignment horizontal="center" vertical="center"/>
    </xf>
    <xf numFmtId="164" fontId="169" fillId="0" borderId="168" xfId="418" applyFont="1" applyBorder="1" applyAlignment="1">
      <alignment horizontal="center" vertical="center"/>
    </xf>
    <xf numFmtId="164" fontId="169" fillId="0" borderId="10" xfId="418" applyFont="1" applyBorder="1" applyAlignment="1">
      <alignment horizontal="center" vertical="center"/>
    </xf>
    <xf numFmtId="164" fontId="169" fillId="0" borderId="41" xfId="418" applyFont="1" applyBorder="1" applyAlignment="1">
      <alignment horizontal="center" vertical="center"/>
    </xf>
    <xf numFmtId="164" fontId="187" fillId="0" borderId="10" xfId="418" applyFont="1" applyBorder="1" applyAlignment="1">
      <alignment horizontal="center" vertical="center"/>
    </xf>
    <xf numFmtId="164" fontId="187" fillId="0" borderId="41" xfId="418" applyFont="1" applyBorder="1" applyAlignment="1">
      <alignment horizontal="center" vertical="center"/>
    </xf>
    <xf numFmtId="43" fontId="178" fillId="0" borderId="135" xfId="1" applyNumberFormat="1" applyFont="1" applyBorder="1"/>
    <xf numFmtId="167" fontId="169" fillId="0" borderId="1" xfId="418" applyNumberFormat="1" applyFont="1" applyBorder="1"/>
    <xf numFmtId="167" fontId="169" fillId="0" borderId="10" xfId="418" applyNumberFormat="1" applyFont="1" applyBorder="1"/>
    <xf numFmtId="167" fontId="169" fillId="0" borderId="41" xfId="418" applyNumberFormat="1" applyFont="1" applyBorder="1"/>
    <xf numFmtId="167" fontId="178" fillId="2" borderId="149" xfId="6" applyNumberFormat="1" applyFont="1" applyFill="1" applyBorder="1" applyAlignment="1">
      <alignment vertical="center"/>
    </xf>
    <xf numFmtId="17" fontId="163" fillId="0" borderId="0" xfId="0" applyNumberFormat="1" applyFont="1" applyFill="1" applyBorder="1" applyAlignment="1">
      <alignment horizontal="center"/>
    </xf>
    <xf numFmtId="10" fontId="174" fillId="0" borderId="0" xfId="6" applyNumberFormat="1" applyFont="1" applyFill="1" applyBorder="1"/>
    <xf numFmtId="0" fontId="129" fillId="2" borderId="139" xfId="0" applyFont="1" applyFill="1" applyBorder="1" applyAlignment="1">
      <alignment vertical="center"/>
    </xf>
    <xf numFmtId="0" fontId="129" fillId="2" borderId="143" xfId="0" applyFont="1" applyFill="1" applyBorder="1" applyAlignment="1">
      <alignment vertical="center"/>
    </xf>
    <xf numFmtId="0" fontId="115" fillId="2" borderId="18" xfId="0" applyFont="1" applyFill="1" applyBorder="1" applyAlignment="1">
      <alignment horizontal="center" vertical="center" wrapText="1"/>
    </xf>
    <xf numFmtId="0" fontId="129" fillId="2" borderId="31" xfId="0" applyFont="1" applyFill="1" applyBorder="1" applyAlignment="1">
      <alignment vertical="center"/>
    </xf>
    <xf numFmtId="0" fontId="129" fillId="2" borderId="191" xfId="0" applyFont="1" applyFill="1" applyBorder="1" applyAlignment="1">
      <alignment vertical="center"/>
    </xf>
    <xf numFmtId="0" fontId="129" fillId="2" borderId="32" xfId="0" applyFont="1" applyFill="1" applyBorder="1" applyAlignment="1">
      <alignment vertical="center"/>
    </xf>
    <xf numFmtId="0" fontId="129" fillId="2" borderId="152" xfId="0" applyFont="1" applyFill="1" applyBorder="1" applyAlignment="1">
      <alignment vertical="center"/>
    </xf>
    <xf numFmtId="0" fontId="129" fillId="2" borderId="16" xfId="0" applyFont="1" applyFill="1" applyBorder="1" applyAlignment="1">
      <alignment vertical="center"/>
    </xf>
    <xf numFmtId="0" fontId="121" fillId="0" borderId="153" xfId="0" applyFont="1" applyBorder="1"/>
    <xf numFmtId="0" fontId="121" fillId="0" borderId="25" xfId="0" applyFont="1" applyBorder="1"/>
    <xf numFmtId="0" fontId="121" fillId="0" borderId="149" xfId="0" applyFont="1" applyBorder="1"/>
    <xf numFmtId="0" fontId="121" fillId="5" borderId="0" xfId="0" applyFont="1" applyFill="1" applyBorder="1" applyAlignment="1">
      <alignment horizontal="centerContinuous"/>
    </xf>
    <xf numFmtId="0" fontId="121" fillId="2" borderId="14" xfId="0" applyFont="1" applyFill="1" applyBorder="1" applyAlignment="1">
      <alignment horizontal="center" vertical="center" wrapText="1"/>
    </xf>
    <xf numFmtId="0" fontId="121" fillId="2" borderId="13" xfId="0" applyFont="1" applyFill="1" applyBorder="1" applyAlignment="1">
      <alignment horizontal="center" vertical="center"/>
    </xf>
    <xf numFmtId="0" fontId="121" fillId="2" borderId="13" xfId="0" applyFont="1" applyFill="1" applyBorder="1" applyAlignment="1">
      <alignment horizontal="center" vertical="center" wrapText="1"/>
    </xf>
    <xf numFmtId="0" fontId="121" fillId="2" borderId="12" xfId="0" applyFont="1" applyFill="1" applyBorder="1" applyAlignment="1">
      <alignment horizontal="center" vertical="center" wrapText="1"/>
    </xf>
    <xf numFmtId="0" fontId="121" fillId="5" borderId="0" xfId="0" applyFont="1" applyFill="1" applyBorder="1" applyAlignment="1">
      <alignment horizontal="center" vertical="center" wrapText="1"/>
    </xf>
    <xf numFmtId="0" fontId="89" fillId="0" borderId="0" xfId="0" applyFont="1" applyBorder="1" applyAlignment="1">
      <alignment horizontal="center" vertical="center"/>
    </xf>
    <xf numFmtId="0" fontId="9" fillId="0" borderId="0" xfId="0" applyFont="1" applyBorder="1" applyAlignment="1">
      <alignment horizontal="center" vertical="center" wrapText="1"/>
    </xf>
    <xf numFmtId="17" fontId="121" fillId="0" borderId="132" xfId="0" applyNumberFormat="1" applyFont="1" applyBorder="1" applyAlignment="1">
      <alignment horizontal="center"/>
    </xf>
    <xf numFmtId="3" fontId="121" fillId="0" borderId="146" xfId="0" applyNumberFormat="1" applyFont="1" applyBorder="1"/>
    <xf numFmtId="3" fontId="121" fillId="0" borderId="109" xfId="0" applyNumberFormat="1" applyFont="1" applyBorder="1"/>
    <xf numFmtId="3" fontId="121" fillId="0" borderId="110" xfId="0" applyNumberFormat="1" applyFont="1" applyBorder="1"/>
    <xf numFmtId="3" fontId="121" fillId="0" borderId="156" xfId="0" applyNumberFormat="1" applyFont="1" applyBorder="1"/>
    <xf numFmtId="3" fontId="121" fillId="0" borderId="0" xfId="0" applyNumberFormat="1" applyFont="1" applyBorder="1"/>
    <xf numFmtId="17" fontId="121" fillId="0" borderId="128" xfId="0" applyNumberFormat="1" applyFont="1" applyBorder="1" applyAlignment="1">
      <alignment horizontal="center"/>
    </xf>
    <xf numFmtId="3" fontId="121" fillId="0" borderId="118" xfId="0" applyNumberFormat="1" applyFont="1" applyBorder="1"/>
    <xf numFmtId="3" fontId="121" fillId="0" borderId="10" xfId="0" applyNumberFormat="1" applyFont="1" applyBorder="1"/>
    <xf numFmtId="3" fontId="121" fillId="0" borderId="1" xfId="0" applyNumberFormat="1" applyFont="1" applyBorder="1"/>
    <xf numFmtId="3" fontId="121" fillId="0" borderId="104" xfId="0" applyNumberFormat="1" applyFont="1" applyBorder="1"/>
    <xf numFmtId="3" fontId="121" fillId="0" borderId="128" xfId="0" applyNumberFormat="1" applyFont="1" applyBorder="1"/>
    <xf numFmtId="17" fontId="121" fillId="0" borderId="129" xfId="0" applyNumberFormat="1" applyFont="1" applyBorder="1" applyAlignment="1">
      <alignment horizontal="center"/>
    </xf>
    <xf numFmtId="3" fontId="121" fillId="0" borderId="119" xfId="0" applyNumberFormat="1" applyFont="1" applyBorder="1"/>
    <xf numFmtId="3" fontId="121" fillId="0" borderId="47" xfId="0" applyNumberFormat="1" applyFont="1" applyBorder="1"/>
    <xf numFmtId="3" fontId="121" fillId="0" borderId="178" xfId="0" applyNumberFormat="1" applyFont="1" applyBorder="1"/>
    <xf numFmtId="3" fontId="121" fillId="0" borderId="184" xfId="0" applyNumberFormat="1" applyFont="1" applyBorder="1"/>
    <xf numFmtId="17" fontId="121" fillId="0" borderId="139" xfId="0" applyNumberFormat="1" applyFont="1" applyBorder="1" applyAlignment="1">
      <alignment horizontal="center"/>
    </xf>
    <xf numFmtId="3" fontId="121" fillId="0" borderId="20" xfId="0" applyNumberFormat="1" applyFont="1" applyBorder="1"/>
    <xf numFmtId="3" fontId="121" fillId="0" borderId="49" xfId="0" applyNumberFormat="1" applyFont="1" applyBorder="1"/>
    <xf numFmtId="3" fontId="121" fillId="0" borderId="18" xfId="0" applyNumberFormat="1" applyFont="1" applyBorder="1"/>
    <xf numFmtId="17" fontId="121" fillId="0" borderId="131" xfId="0" applyNumberFormat="1" applyFont="1" applyBorder="1" applyAlignment="1">
      <alignment horizontal="center"/>
    </xf>
    <xf numFmtId="3" fontId="121" fillId="0" borderId="221" xfId="0" applyNumberFormat="1" applyFont="1" applyBorder="1"/>
    <xf numFmtId="3" fontId="121" fillId="0" borderId="26" xfId="0" applyNumberFormat="1" applyFont="1" applyBorder="1"/>
    <xf numFmtId="3" fontId="121" fillId="0" borderId="187" xfId="0" applyNumberFormat="1" applyFont="1" applyBorder="1"/>
    <xf numFmtId="3" fontId="121" fillId="0" borderId="208" xfId="0" applyNumberFormat="1" applyFont="1" applyBorder="1"/>
    <xf numFmtId="17" fontId="121" fillId="0" borderId="130" xfId="0" applyNumberFormat="1" applyFont="1" applyBorder="1" applyAlignment="1">
      <alignment horizontal="center"/>
    </xf>
    <xf numFmtId="3" fontId="121" fillId="0" borderId="23" xfId="0" applyNumberFormat="1" applyFont="1" applyBorder="1"/>
    <xf numFmtId="3" fontId="121" fillId="0" borderId="6" xfId="0" applyNumberFormat="1" applyFont="1" applyBorder="1"/>
    <xf numFmtId="3" fontId="121" fillId="0" borderId="22" xfId="0" applyNumberFormat="1" applyFont="1" applyBorder="1"/>
    <xf numFmtId="3" fontId="121" fillId="5" borderId="131" xfId="0" applyNumberFormat="1" applyFont="1" applyFill="1" applyBorder="1"/>
    <xf numFmtId="3" fontId="121" fillId="5" borderId="118" xfId="0" applyNumberFormat="1" applyFont="1" applyFill="1" applyBorder="1"/>
    <xf numFmtId="3" fontId="121" fillId="5" borderId="128" xfId="0" applyNumberFormat="1" applyFont="1" applyFill="1" applyBorder="1"/>
    <xf numFmtId="3" fontId="132" fillId="0" borderId="0" xfId="0" applyNumberFormat="1" applyFont="1" applyBorder="1" applyAlignment="1">
      <alignment horizontal="center"/>
    </xf>
    <xf numFmtId="3" fontId="132" fillId="0" borderId="0" xfId="0" applyNumberFormat="1" applyFont="1" applyBorder="1" applyAlignment="1">
      <alignment horizontal="right"/>
    </xf>
    <xf numFmtId="3" fontId="121" fillId="0" borderId="131" xfId="0" applyNumberFormat="1" applyFont="1" applyBorder="1"/>
    <xf numFmtId="3" fontId="121" fillId="0" borderId="129" xfId="0" applyNumberFormat="1" applyFont="1" applyBorder="1"/>
    <xf numFmtId="3" fontId="121" fillId="0" borderId="130" xfId="0" applyNumberFormat="1" applyFont="1" applyBorder="1"/>
    <xf numFmtId="3" fontId="121" fillId="0" borderId="37" xfId="0" applyNumberFormat="1" applyFont="1" applyBorder="1"/>
    <xf numFmtId="3" fontId="121" fillId="0" borderId="140" xfId="0" applyNumberFormat="1" applyFont="1" applyBorder="1"/>
    <xf numFmtId="3" fontId="121" fillId="0" borderId="123" xfId="0" applyNumberFormat="1" applyFont="1" applyBorder="1"/>
    <xf numFmtId="3" fontId="121" fillId="0" borderId="36" xfId="0" applyNumberFormat="1" applyFont="1" applyBorder="1"/>
    <xf numFmtId="3" fontId="121" fillId="0" borderId="103" xfId="0" applyNumberFormat="1" applyFont="1" applyBorder="1"/>
    <xf numFmtId="17" fontId="121" fillId="0" borderId="152" xfId="0" applyNumberFormat="1" applyFont="1" applyBorder="1" applyAlignment="1">
      <alignment horizontal="center"/>
    </xf>
    <xf numFmtId="3" fontId="121" fillId="0" borderId="17" xfId="0" applyNumberFormat="1" applyFont="1" applyBorder="1"/>
    <xf numFmtId="3" fontId="121" fillId="0" borderId="21" xfId="0" applyNumberFormat="1" applyFont="1" applyBorder="1"/>
    <xf numFmtId="3" fontId="121" fillId="0" borderId="15" xfId="0" applyNumberFormat="1" applyFont="1" applyBorder="1"/>
    <xf numFmtId="0" fontId="121" fillId="0" borderId="6" xfId="0" applyFont="1" applyBorder="1"/>
    <xf numFmtId="17" fontId="121" fillId="0" borderId="0" xfId="0" applyNumberFormat="1" applyFont="1" applyBorder="1" applyAlignment="1">
      <alignment horizontal="center"/>
    </xf>
    <xf numFmtId="3" fontId="115" fillId="0" borderId="0" xfId="0" applyNumberFormat="1" applyFont="1" applyBorder="1"/>
    <xf numFmtId="0" fontId="121" fillId="0" borderId="27" xfId="0" applyFont="1" applyBorder="1"/>
    <xf numFmtId="0" fontId="121" fillId="0" borderId="8" xfId="0" applyFont="1" applyBorder="1"/>
    <xf numFmtId="0" fontId="121" fillId="0" borderId="30" xfId="0" applyFont="1" applyBorder="1"/>
    <xf numFmtId="0" fontId="121" fillId="0" borderId="28" xfId="0" applyFont="1" applyBorder="1"/>
    <xf numFmtId="0" fontId="121" fillId="0" borderId="29" xfId="0" applyFont="1" applyBorder="1"/>
    <xf numFmtId="0" fontId="115" fillId="2" borderId="29" xfId="0" applyFont="1" applyFill="1" applyBorder="1" applyAlignment="1">
      <alignment vertical="center"/>
    </xf>
    <xf numFmtId="0" fontId="115" fillId="2" borderId="31" xfId="0" applyFont="1" applyFill="1" applyBorder="1" applyAlignment="1">
      <alignment vertical="center"/>
    </xf>
    <xf numFmtId="0" fontId="115" fillId="2" borderId="32" xfId="0" applyFont="1" applyFill="1" applyBorder="1" applyAlignment="1">
      <alignment vertical="center"/>
    </xf>
    <xf numFmtId="0" fontId="115" fillId="2" borderId="16" xfId="0" applyFont="1" applyFill="1" applyBorder="1" applyAlignment="1">
      <alignment vertical="center"/>
    </xf>
    <xf numFmtId="0" fontId="115" fillId="2" borderId="5" xfId="0" applyFont="1" applyFill="1" applyBorder="1" applyAlignment="1">
      <alignment horizontal="centerContinuous"/>
    </xf>
    <xf numFmtId="0" fontId="115" fillId="2" borderId="21" xfId="0" applyFont="1" applyFill="1" applyBorder="1" applyAlignment="1">
      <alignment horizontal="center"/>
    </xf>
    <xf numFmtId="167" fontId="122" fillId="0" borderId="52" xfId="1" applyNumberFormat="1" applyFont="1" applyBorder="1" applyAlignment="1">
      <alignment vertical="center"/>
    </xf>
    <xf numFmtId="167" fontId="122" fillId="0" borderId="53" xfId="1" applyNumberFormat="1" applyFont="1" applyBorder="1" applyAlignment="1">
      <alignment vertical="center"/>
    </xf>
    <xf numFmtId="167" fontId="148" fillId="0" borderId="52" xfId="1" applyNumberFormat="1" applyFont="1" applyBorder="1" applyAlignment="1">
      <alignment vertical="center"/>
    </xf>
    <xf numFmtId="167" fontId="122" fillId="0" borderId="36" xfId="1" applyNumberFormat="1" applyFont="1" applyBorder="1" applyAlignment="1">
      <alignment vertical="center"/>
    </xf>
    <xf numFmtId="167" fontId="122" fillId="0" borderId="0" xfId="1" applyNumberFormat="1" applyFont="1" applyBorder="1" applyAlignment="1">
      <alignment vertical="center"/>
    </xf>
    <xf numFmtId="167" fontId="148" fillId="0" borderId="36" xfId="1" applyNumberFormat="1" applyFont="1" applyBorder="1" applyAlignment="1">
      <alignment vertical="center"/>
    </xf>
    <xf numFmtId="167" fontId="122" fillId="0" borderId="157" xfId="1" applyNumberFormat="1" applyFont="1" applyBorder="1" applyAlignment="1">
      <alignment vertical="center"/>
    </xf>
    <xf numFmtId="167" fontId="122" fillId="0" borderId="158" xfId="1" applyNumberFormat="1" applyFont="1" applyBorder="1" applyAlignment="1">
      <alignment vertical="center"/>
    </xf>
    <xf numFmtId="167" fontId="148" fillId="0" borderId="157" xfId="1" applyNumberFormat="1" applyFont="1" applyBorder="1" applyAlignment="1">
      <alignment vertical="center"/>
    </xf>
    <xf numFmtId="10" fontId="121" fillId="0" borderId="0" xfId="6" applyNumberFormat="1" applyFont="1"/>
    <xf numFmtId="167" fontId="199" fillId="0" borderId="0" xfId="1" applyNumberFormat="1" applyFont="1" applyBorder="1"/>
    <xf numFmtId="167" fontId="147" fillId="0" borderId="157" xfId="1" applyNumberFormat="1" applyFont="1" applyBorder="1" applyAlignment="1">
      <alignment vertical="center"/>
    </xf>
    <xf numFmtId="167" fontId="147" fillId="0" borderId="158" xfId="1" applyNumberFormat="1" applyFont="1" applyBorder="1" applyAlignment="1">
      <alignment vertical="center"/>
    </xf>
    <xf numFmtId="167" fontId="147" fillId="0" borderId="53" xfId="1" applyNumberFormat="1" applyFont="1" applyBorder="1" applyAlignment="1">
      <alignment vertical="center"/>
    </xf>
    <xf numFmtId="167" fontId="195" fillId="0" borderId="157" xfId="1" applyNumberFormat="1" applyFont="1" applyBorder="1" applyAlignment="1">
      <alignment vertical="center"/>
    </xf>
    <xf numFmtId="167" fontId="199" fillId="0" borderId="0" xfId="0" applyNumberFormat="1" applyFont="1" applyBorder="1"/>
    <xf numFmtId="10" fontId="199" fillId="0" borderId="0" xfId="6" applyNumberFormat="1" applyFont="1"/>
    <xf numFmtId="167" fontId="122" fillId="0" borderId="230" xfId="1" applyNumberFormat="1" applyFont="1" applyBorder="1" applyAlignment="1">
      <alignment vertical="center"/>
    </xf>
    <xf numFmtId="167" fontId="122" fillId="0" borderId="232" xfId="1" applyNumberFormat="1" applyFont="1" applyBorder="1" applyAlignment="1">
      <alignment vertical="center"/>
    </xf>
    <xf numFmtId="167" fontId="148" fillId="0" borderId="232" xfId="1" applyNumberFormat="1" applyFont="1" applyBorder="1" applyAlignment="1">
      <alignment vertical="center"/>
    </xf>
    <xf numFmtId="10" fontId="122" fillId="0" borderId="226" xfId="6" applyNumberFormat="1" applyFont="1" applyBorder="1" applyAlignment="1">
      <alignment vertical="center"/>
    </xf>
    <xf numFmtId="167" fontId="122" fillId="0" borderId="231" xfId="1" applyNumberFormat="1" applyFont="1" applyBorder="1" applyAlignment="1">
      <alignment vertical="center"/>
    </xf>
    <xf numFmtId="10" fontId="122" fillId="0" borderId="227" xfId="6" applyNumberFormat="1" applyFont="1" applyBorder="1" applyAlignment="1">
      <alignment vertical="center"/>
    </xf>
    <xf numFmtId="167" fontId="148" fillId="5" borderId="52" xfId="1" applyNumberFormat="1" applyFont="1" applyFill="1" applyBorder="1" applyAlignment="1">
      <alignment vertical="center"/>
    </xf>
    <xf numFmtId="10" fontId="121" fillId="0" borderId="0" xfId="6" applyNumberFormat="1" applyFont="1" applyBorder="1"/>
    <xf numFmtId="167" fontId="122" fillId="0" borderId="233" xfId="1" applyNumberFormat="1" applyFont="1" applyBorder="1" applyAlignment="1">
      <alignment vertical="center"/>
    </xf>
    <xf numFmtId="167" fontId="148" fillId="5" borderId="157" xfId="1" applyNumberFormat="1" applyFont="1" applyFill="1" applyBorder="1" applyAlignment="1">
      <alignment vertical="center"/>
    </xf>
    <xf numFmtId="17" fontId="115" fillId="2" borderId="14" xfId="0" applyNumberFormat="1" applyFont="1" applyFill="1" applyBorder="1" applyAlignment="1">
      <alignment horizontal="center"/>
    </xf>
    <xf numFmtId="10" fontId="121" fillId="2" borderId="48" xfId="6" applyNumberFormat="1" applyFont="1" applyFill="1" applyBorder="1"/>
    <xf numFmtId="0" fontId="132" fillId="5" borderId="0" xfId="0" applyFont="1" applyFill="1" applyBorder="1"/>
    <xf numFmtId="0" fontId="132" fillId="5" borderId="0" xfId="0" applyFont="1" applyFill="1"/>
    <xf numFmtId="10" fontId="132" fillId="5" borderId="0" xfId="6" applyNumberFormat="1" applyFont="1" applyFill="1" applyBorder="1" applyAlignment="1">
      <alignment horizontal="center"/>
    </xf>
    <xf numFmtId="167" fontId="132" fillId="5" borderId="0" xfId="0" applyNumberFormat="1" applyFont="1" applyFill="1" applyBorder="1"/>
    <xf numFmtId="173" fontId="121" fillId="0" borderId="0" xfId="6" applyNumberFormat="1" applyFont="1" applyBorder="1" applyAlignment="1">
      <alignment horizontal="center"/>
    </xf>
    <xf numFmtId="43" fontId="181" fillId="5" borderId="135" xfId="1" applyNumberFormat="1" applyFont="1" applyFill="1" applyBorder="1"/>
    <xf numFmtId="173" fontId="181" fillId="5" borderId="135" xfId="6" applyNumberFormat="1" applyFont="1" applyFill="1" applyBorder="1" applyAlignment="1">
      <alignment horizontal="center"/>
    </xf>
    <xf numFmtId="43" fontId="122" fillId="0" borderId="135" xfId="0" applyNumberFormat="1" applyFont="1" applyBorder="1"/>
    <xf numFmtId="43" fontId="115" fillId="0" borderId="135" xfId="1" applyNumberFormat="1" applyFont="1" applyBorder="1"/>
    <xf numFmtId="43" fontId="182" fillId="5" borderId="135" xfId="1" applyNumberFormat="1" applyFont="1" applyFill="1" applyBorder="1"/>
    <xf numFmtId="43" fontId="182" fillId="5" borderId="140" xfId="1" applyNumberFormat="1" applyFont="1" applyFill="1" applyBorder="1"/>
    <xf numFmtId="10" fontId="182" fillId="5" borderId="140" xfId="6" applyNumberFormat="1" applyFont="1" applyFill="1" applyBorder="1" applyAlignment="1">
      <alignment horizontal="center"/>
    </xf>
    <xf numFmtId="10" fontId="182" fillId="5" borderId="135" xfId="6" applyNumberFormat="1" applyFont="1" applyFill="1" applyBorder="1" applyAlignment="1">
      <alignment horizontal="center"/>
    </xf>
    <xf numFmtId="43" fontId="115" fillId="0" borderId="188" xfId="1" applyNumberFormat="1" applyFont="1" applyBorder="1"/>
    <xf numFmtId="43" fontId="115" fillId="0" borderId="106" xfId="1" applyNumberFormat="1" applyFont="1" applyBorder="1"/>
    <xf numFmtId="0" fontId="203" fillId="0" borderId="0" xfId="0" applyFont="1" applyAlignment="1">
      <alignment vertical="center"/>
    </xf>
    <xf numFmtId="0" fontId="203" fillId="0" borderId="0" xfId="0" applyFont="1"/>
    <xf numFmtId="17" fontId="71" fillId="76" borderId="102" xfId="0" applyNumberFormat="1" applyFont="1" applyFill="1" applyBorder="1" applyAlignment="1">
      <alignment horizontal="center"/>
    </xf>
    <xf numFmtId="43" fontId="121" fillId="0" borderId="139" xfId="1" applyNumberFormat="1" applyFont="1" applyBorder="1"/>
    <xf numFmtId="43" fontId="121" fillId="0" borderId="183" xfId="1" applyNumberFormat="1" applyFont="1" applyBorder="1"/>
    <xf numFmtId="167" fontId="121" fillId="0" borderId="183" xfId="1" applyNumberFormat="1" applyFont="1" applyBorder="1"/>
    <xf numFmtId="43" fontId="181" fillId="5" borderId="153" xfId="1" applyNumberFormat="1" applyFont="1" applyFill="1" applyBorder="1"/>
    <xf numFmtId="173" fontId="181" fillId="5" borderId="183" xfId="6" applyNumberFormat="1" applyFont="1" applyFill="1" applyBorder="1" applyAlignment="1">
      <alignment horizontal="center"/>
    </xf>
    <xf numFmtId="173" fontId="181" fillId="5" borderId="152" xfId="6" applyNumberFormat="1" applyFont="1" applyFill="1" applyBorder="1" applyAlignment="1">
      <alignment horizontal="center"/>
    </xf>
    <xf numFmtId="167" fontId="121" fillId="0" borderId="148" xfId="1" applyNumberFormat="1" applyFont="1" applyBorder="1"/>
    <xf numFmtId="43" fontId="121" fillId="0" borderId="188" xfId="1" applyNumberFormat="1" applyFont="1" applyBorder="1"/>
    <xf numFmtId="167" fontId="121" fillId="0" borderId="188" xfId="1" applyNumberFormat="1" applyFont="1" applyBorder="1"/>
    <xf numFmtId="43" fontId="181" fillId="5" borderId="181" xfId="1" applyNumberFormat="1" applyFont="1" applyFill="1" applyBorder="1"/>
    <xf numFmtId="173" fontId="181" fillId="5" borderId="188" xfId="6" applyNumberFormat="1" applyFont="1" applyFill="1" applyBorder="1" applyAlignment="1">
      <alignment horizontal="center"/>
    </xf>
    <xf numFmtId="43" fontId="121" fillId="0" borderId="113" xfId="1" applyNumberFormat="1" applyFont="1" applyBorder="1"/>
    <xf numFmtId="43" fontId="122" fillId="0" borderId="140" xfId="0" applyNumberFormat="1" applyFont="1" applyBorder="1"/>
    <xf numFmtId="43" fontId="121" fillId="0" borderId="196" xfId="1" applyNumberFormat="1" applyFont="1" applyBorder="1"/>
    <xf numFmtId="43" fontId="181" fillId="5" borderId="149" xfId="1" applyNumberFormat="1" applyFont="1" applyFill="1" applyBorder="1"/>
    <xf numFmtId="173" fontId="181" fillId="5" borderId="106" xfId="6" applyNumberFormat="1" applyFont="1" applyFill="1" applyBorder="1" applyAlignment="1">
      <alignment horizontal="center"/>
    </xf>
    <xf numFmtId="173" fontId="181" fillId="5" borderId="144" xfId="6" applyNumberFormat="1" applyFont="1" applyFill="1" applyBorder="1" applyAlignment="1">
      <alignment horizontal="center"/>
    </xf>
    <xf numFmtId="43" fontId="121" fillId="0" borderId="179" xfId="1" applyNumberFormat="1" applyFont="1" applyBorder="1"/>
    <xf numFmtId="0" fontId="51" fillId="2" borderId="183" xfId="0" applyFont="1" applyFill="1" applyBorder="1" applyAlignment="1">
      <alignment vertical="center"/>
    </xf>
    <xf numFmtId="0" fontId="49" fillId="2" borderId="167" xfId="0" applyFont="1" applyFill="1" applyBorder="1" applyAlignment="1">
      <alignment horizontal="centerContinuous" vertical="center" wrapText="1"/>
    </xf>
    <xf numFmtId="0" fontId="50" fillId="0" borderId="153" xfId="0" applyFont="1" applyBorder="1"/>
    <xf numFmtId="0" fontId="50" fillId="0" borderId="149" xfId="0" applyFont="1" applyBorder="1"/>
    <xf numFmtId="10" fontId="49" fillId="2" borderId="181" xfId="6" applyNumberFormat="1" applyFont="1" applyFill="1" applyBorder="1" applyAlignment="1">
      <alignment vertical="center"/>
    </xf>
    <xf numFmtId="0" fontId="50" fillId="0" borderId="152" xfId="0" applyFont="1" applyBorder="1"/>
    <xf numFmtId="0" fontId="50" fillId="0" borderId="144" xfId="0" applyFont="1" applyBorder="1"/>
    <xf numFmtId="17" fontId="49" fillId="2" borderId="221" xfId="0" applyNumberFormat="1" applyFont="1" applyFill="1" applyBorder="1" applyAlignment="1">
      <alignment horizontal="center"/>
    </xf>
    <xf numFmtId="10" fontId="50" fillId="0" borderId="222" xfId="6" applyNumberFormat="1" applyFont="1" applyBorder="1"/>
    <xf numFmtId="10" fontId="50" fillId="0" borderId="104" xfId="6" applyNumberFormat="1" applyFont="1" applyBorder="1"/>
    <xf numFmtId="10" fontId="50" fillId="0" borderId="184" xfId="6" applyNumberFormat="1" applyFont="1" applyBorder="1"/>
    <xf numFmtId="10" fontId="50" fillId="73" borderId="184" xfId="6" applyNumberFormat="1" applyFont="1" applyFill="1" applyBorder="1"/>
    <xf numFmtId="0" fontId="51" fillId="2" borderId="191" xfId="0" applyFont="1" applyFill="1" applyBorder="1" applyAlignment="1">
      <alignment vertical="center"/>
    </xf>
    <xf numFmtId="0" fontId="49" fillId="2" borderId="223" xfId="0" applyFont="1" applyFill="1" applyBorder="1" applyAlignment="1">
      <alignment horizontal="centerContinuous" vertical="center" wrapText="1"/>
    </xf>
    <xf numFmtId="0" fontId="52" fillId="10" borderId="181" xfId="0" applyFont="1" applyFill="1" applyBorder="1" applyAlignment="1">
      <alignment horizontal="center" vertical="center" wrapText="1"/>
    </xf>
    <xf numFmtId="167" fontId="49" fillId="66" borderId="125" xfId="1" applyNumberFormat="1" applyFont="1" applyFill="1" applyBorder="1"/>
    <xf numFmtId="167" fontId="49" fillId="66" borderId="195" xfId="1" applyNumberFormat="1" applyFont="1" applyFill="1" applyBorder="1"/>
    <xf numFmtId="167" fontId="49" fillId="66" borderId="193" xfId="1" applyNumberFormat="1" applyFont="1" applyFill="1" applyBorder="1"/>
    <xf numFmtId="0" fontId="52" fillId="0" borderId="153" xfId="2" applyFont="1" applyBorder="1"/>
    <xf numFmtId="0" fontId="52" fillId="0" borderId="103" xfId="2" applyFont="1" applyBorder="1"/>
    <xf numFmtId="0" fontId="52" fillId="0" borderId="124" xfId="2" applyFont="1" applyBorder="1"/>
    <xf numFmtId="0" fontId="52" fillId="0" borderId="117" xfId="2" applyFont="1" applyBorder="1"/>
    <xf numFmtId="0" fontId="52" fillId="2" borderId="194" xfId="2" applyFont="1" applyFill="1" applyBorder="1" applyAlignment="1">
      <alignment horizontal="center"/>
    </xf>
    <xf numFmtId="3" fontId="52" fillId="0" borderId="22" xfId="2" applyNumberFormat="1" applyFont="1" applyBorder="1" applyAlignment="1"/>
    <xf numFmtId="17" fontId="52" fillId="0" borderId="148" xfId="2" applyNumberFormat="1" applyFont="1" applyBorder="1" applyAlignment="1">
      <alignment horizontal="center" vertical="center"/>
    </xf>
    <xf numFmtId="17" fontId="52" fillId="0" borderId="135" xfId="2" applyNumberFormat="1" applyFont="1" applyBorder="1" applyAlignment="1">
      <alignment horizontal="center" vertical="center"/>
    </xf>
    <xf numFmtId="17" fontId="52" fillId="0" borderId="192" xfId="2" applyNumberFormat="1" applyFont="1" applyBorder="1" applyAlignment="1">
      <alignment horizontal="center" vertical="center"/>
    </xf>
    <xf numFmtId="2" fontId="52" fillId="0" borderId="148" xfId="250" applyNumberFormat="1" applyFont="1" applyFill="1" applyBorder="1" applyAlignment="1">
      <alignment vertical="center"/>
    </xf>
    <xf numFmtId="2" fontId="52" fillId="5" borderId="135" xfId="250" applyNumberFormat="1" applyFont="1" applyFill="1" applyBorder="1" applyAlignment="1">
      <alignment vertical="center"/>
    </xf>
    <xf numFmtId="2" fontId="52" fillId="5" borderId="192" xfId="250" applyNumberFormat="1" applyFont="1" applyFill="1" applyBorder="1" applyAlignment="1">
      <alignment vertical="center"/>
    </xf>
    <xf numFmtId="2" fontId="52" fillId="0" borderId="148" xfId="250" applyNumberFormat="1" applyFont="1" applyBorder="1" applyAlignment="1">
      <alignment vertical="center"/>
    </xf>
    <xf numFmtId="2" fontId="52" fillId="0" borderId="135" xfId="250" applyNumberFormat="1" applyFont="1" applyBorder="1" applyAlignment="1">
      <alignment vertical="center"/>
    </xf>
    <xf numFmtId="2" fontId="52" fillId="0" borderId="179" xfId="250" applyNumberFormat="1" applyFont="1" applyBorder="1" applyAlignment="1">
      <alignment vertical="center"/>
    </xf>
    <xf numFmtId="2" fontId="52" fillId="0" borderId="148" xfId="250" applyNumberFormat="1" applyFont="1" applyBorder="1"/>
    <xf numFmtId="2" fontId="68" fillId="0" borderId="179" xfId="250" applyNumberFormat="1" applyFont="1" applyFill="1" applyBorder="1" applyAlignment="1">
      <alignment vertical="center"/>
    </xf>
    <xf numFmtId="2" fontId="52" fillId="0" borderId="135" xfId="250" applyNumberFormat="1" applyFont="1" applyFill="1" applyBorder="1" applyAlignment="1">
      <alignment vertical="center"/>
    </xf>
    <xf numFmtId="2" fontId="52" fillId="0" borderId="179" xfId="250" applyNumberFormat="1" applyFont="1" applyFill="1" applyBorder="1" applyAlignment="1">
      <alignment vertical="center"/>
    </xf>
    <xf numFmtId="0" fontId="52" fillId="0" borderId="106" xfId="8" applyFont="1" applyBorder="1" applyAlignment="1">
      <alignment vertical="center" wrapText="1"/>
    </xf>
    <xf numFmtId="0" fontId="55" fillId="0" borderId="153" xfId="8" applyFont="1" applyFill="1" applyBorder="1" applyAlignment="1">
      <alignment horizontal="left" vertical="center" wrapText="1"/>
    </xf>
    <xf numFmtId="0" fontId="52" fillId="0" borderId="103" xfId="8" applyFont="1" applyFill="1" applyBorder="1" applyAlignment="1">
      <alignment horizontal="left" vertical="center" wrapText="1"/>
    </xf>
    <xf numFmtId="0" fontId="58" fillId="0" borderId="103" xfId="7" applyFont="1" applyBorder="1"/>
    <xf numFmtId="17" fontId="52" fillId="0" borderId="124" xfId="2" applyNumberFormat="1" applyFont="1" applyBorder="1"/>
    <xf numFmtId="0" fontId="58" fillId="0" borderId="117" xfId="7" applyFont="1" applyBorder="1"/>
    <xf numFmtId="0" fontId="52" fillId="0" borderId="149" xfId="2" applyFont="1" applyBorder="1"/>
    <xf numFmtId="0" fontId="52" fillId="0" borderId="238" xfId="2" applyFont="1" applyBorder="1" applyAlignment="1">
      <alignment horizontal="left" vertical="center" wrapText="1"/>
    </xf>
    <xf numFmtId="0" fontId="52" fillId="0" borderId="239" xfId="2" applyFont="1" applyBorder="1" applyAlignment="1">
      <alignment horizontal="left" vertical="center" wrapText="1"/>
    </xf>
    <xf numFmtId="0" fontId="48" fillId="0" borderId="123" xfId="14" applyBorder="1"/>
    <xf numFmtId="0" fontId="48" fillId="0" borderId="0" xfId="14" applyBorder="1"/>
    <xf numFmtId="3" fontId="52" fillId="0" borderId="103" xfId="2" applyNumberFormat="1" applyFont="1" applyBorder="1"/>
    <xf numFmtId="0" fontId="52" fillId="0" borderId="123" xfId="2" applyFont="1" applyBorder="1" applyAlignment="1">
      <alignment horizontal="left"/>
    </xf>
    <xf numFmtId="0" fontId="52" fillId="0" borderId="123" xfId="2" applyFont="1" applyBorder="1"/>
    <xf numFmtId="0" fontId="129" fillId="2" borderId="183" xfId="0" applyFont="1" applyFill="1" applyBorder="1" applyAlignment="1">
      <alignment vertical="center"/>
    </xf>
    <xf numFmtId="0" fontId="115" fillId="2" borderId="167" xfId="0" applyFont="1" applyFill="1" applyBorder="1" applyAlignment="1">
      <alignment horizontal="centerContinuous" vertical="center" wrapText="1"/>
    </xf>
    <xf numFmtId="0" fontId="115" fillId="2" borderId="167" xfId="0" applyFont="1" applyFill="1" applyBorder="1" applyAlignment="1">
      <alignment horizontal="centerContinuous"/>
    </xf>
    <xf numFmtId="0" fontId="115" fillId="2" borderId="15" xfId="0" applyFont="1" applyFill="1" applyBorder="1" applyAlignment="1">
      <alignment horizontal="center"/>
    </xf>
    <xf numFmtId="17" fontId="115" fillId="2" borderId="24" xfId="0" applyNumberFormat="1" applyFont="1" applyFill="1" applyBorder="1" applyAlignment="1">
      <alignment horizontal="center"/>
    </xf>
    <xf numFmtId="10" fontId="122" fillId="0" borderId="240" xfId="6" applyNumberFormat="1" applyFont="1" applyBorder="1" applyAlignment="1">
      <alignment vertical="center"/>
    </xf>
    <xf numFmtId="10" fontId="122" fillId="0" borderId="190" xfId="6" applyNumberFormat="1" applyFont="1" applyBorder="1" applyAlignment="1">
      <alignment vertical="center"/>
    </xf>
    <xf numFmtId="17" fontId="129" fillId="2" borderId="24" xfId="0" applyNumberFormat="1" applyFont="1" applyFill="1" applyBorder="1" applyAlignment="1">
      <alignment horizontal="center"/>
    </xf>
    <xf numFmtId="10" fontId="147" fillId="0" borderId="240" xfId="6" applyNumberFormat="1" applyFont="1" applyBorder="1" applyAlignment="1">
      <alignment vertical="center"/>
    </xf>
    <xf numFmtId="17" fontId="115" fillId="2" borderId="51" xfId="0" applyNumberFormat="1" applyFont="1" applyFill="1" applyBorder="1" applyAlignment="1">
      <alignment horizontal="center"/>
    </xf>
    <xf numFmtId="10" fontId="122" fillId="0" borderId="241" xfId="6" applyNumberFormat="1" applyFont="1" applyBorder="1" applyAlignment="1">
      <alignment vertical="center"/>
    </xf>
    <xf numFmtId="167" fontId="49" fillId="0" borderId="21" xfId="418" applyNumberFormat="1" applyFont="1" applyBorder="1" applyAlignment="1">
      <alignment horizontal="right" vertical="center" wrapText="1"/>
    </xf>
    <xf numFmtId="164" fontId="49" fillId="0" borderId="17" xfId="418" applyFont="1" applyBorder="1" applyAlignment="1">
      <alignment horizontal="right" vertical="center" wrapText="1"/>
    </xf>
    <xf numFmtId="164" fontId="49" fillId="0" borderId="21" xfId="418" applyFont="1" applyBorder="1" applyAlignment="1">
      <alignment horizontal="right" vertical="center" wrapText="1"/>
    </xf>
    <xf numFmtId="0" fontId="49" fillId="5" borderId="140" xfId="7" applyFont="1" applyFill="1" applyBorder="1" applyAlignment="1">
      <alignment horizontal="left" vertical="center" wrapText="1"/>
    </xf>
    <xf numFmtId="0" fontId="52" fillId="0" borderId="153" xfId="7" applyFont="1" applyBorder="1"/>
    <xf numFmtId="0" fontId="52" fillId="0" borderId="103" xfId="7" applyFont="1" applyBorder="1"/>
    <xf numFmtId="0" fontId="58" fillId="0" borderId="124" xfId="7" applyFont="1" applyBorder="1"/>
    <xf numFmtId="10" fontId="50" fillId="6" borderId="6" xfId="6" applyNumberFormat="1" applyFont="1" applyFill="1" applyBorder="1"/>
    <xf numFmtId="17" fontId="49" fillId="2" borderId="20" xfId="0" applyNumberFormat="1" applyFont="1" applyFill="1" applyBorder="1" applyAlignment="1">
      <alignment horizontal="center"/>
    </xf>
    <xf numFmtId="167" fontId="50" fillId="0" borderId="49" xfId="1" applyNumberFormat="1" applyFont="1" applyBorder="1"/>
    <xf numFmtId="10" fontId="50" fillId="6" borderId="49" xfId="6" applyNumberFormat="1" applyFont="1" applyFill="1" applyBorder="1"/>
    <xf numFmtId="10" fontId="50" fillId="6" borderId="18" xfId="6" applyNumberFormat="1" applyFont="1" applyFill="1" applyBorder="1"/>
    <xf numFmtId="10" fontId="50" fillId="6" borderId="22" xfId="6" applyNumberFormat="1" applyFont="1" applyFill="1" applyBorder="1"/>
    <xf numFmtId="0" fontId="52" fillId="0" borderId="191" xfId="2" applyFont="1" applyBorder="1"/>
    <xf numFmtId="0" fontId="52" fillId="0" borderId="190" xfId="2" applyFont="1" applyBorder="1"/>
    <xf numFmtId="0" fontId="50" fillId="0" borderId="190" xfId="0" applyFont="1" applyBorder="1"/>
    <xf numFmtId="0" fontId="55" fillId="10" borderId="148" xfId="2" applyFont="1" applyFill="1" applyBorder="1" applyAlignment="1"/>
    <xf numFmtId="3" fontId="52" fillId="5" borderId="22" xfId="2" applyNumberFormat="1" applyFont="1" applyFill="1" applyBorder="1" applyAlignment="1">
      <alignment horizontal="center" vertical="center"/>
    </xf>
    <xf numFmtId="0" fontId="157" fillId="5" borderId="122" xfId="0" applyFont="1" applyFill="1" applyBorder="1" applyAlignment="1">
      <alignment horizontal="left" vertical="center" wrapText="1"/>
    </xf>
    <xf numFmtId="0" fontId="173" fillId="5" borderId="149" xfId="0" applyFont="1" applyFill="1" applyBorder="1" applyAlignment="1">
      <alignment horizontal="left" vertical="center" wrapText="1"/>
    </xf>
    <xf numFmtId="0" fontId="173" fillId="5" borderId="122" xfId="0" applyFont="1" applyFill="1" applyBorder="1" applyAlignment="1">
      <alignment horizontal="left" vertical="center" wrapText="1"/>
    </xf>
    <xf numFmtId="0" fontId="173" fillId="5" borderId="31" xfId="0" applyFont="1" applyFill="1" applyBorder="1" applyAlignment="1">
      <alignment horizontal="left" vertical="center" wrapText="1"/>
    </xf>
    <xf numFmtId="0" fontId="173" fillId="5" borderId="148" xfId="0" applyFont="1" applyFill="1" applyBorder="1" applyAlignment="1">
      <alignment horizontal="right" vertical="center"/>
    </xf>
    <xf numFmtId="0" fontId="173" fillId="5" borderId="135" xfId="0" applyFont="1" applyFill="1" applyBorder="1" applyAlignment="1">
      <alignment horizontal="right" vertical="center"/>
    </xf>
    <xf numFmtId="0" fontId="173" fillId="5" borderId="179" xfId="0" applyFont="1" applyFill="1" applyBorder="1" applyAlignment="1">
      <alignment horizontal="right" vertical="center"/>
    </xf>
    <xf numFmtId="0" fontId="158" fillId="0" borderId="0" xfId="357" applyFont="1" applyBorder="1" applyAlignment="1">
      <alignment horizontal="left"/>
    </xf>
    <xf numFmtId="43" fontId="163" fillId="0" borderId="168" xfId="1" applyFont="1" applyFill="1" applyBorder="1" applyAlignment="1">
      <alignment horizontal="center" vertical="center"/>
    </xf>
    <xf numFmtId="43" fontId="204" fillId="0" borderId="10" xfId="1" applyFont="1" applyFill="1" applyBorder="1" applyAlignment="1">
      <alignment vertical="center"/>
    </xf>
    <xf numFmtId="43" fontId="204" fillId="0" borderId="1" xfId="1" applyFont="1" applyFill="1" applyBorder="1" applyAlignment="1">
      <alignment vertical="center"/>
    </xf>
    <xf numFmtId="43" fontId="204" fillId="0" borderId="41" xfId="1" applyFont="1" applyFill="1" applyBorder="1" applyAlignment="1">
      <alignment vertical="center"/>
    </xf>
    <xf numFmtId="0" fontId="205" fillId="95" borderId="6" xfId="0" applyFont="1" applyFill="1" applyBorder="1" applyAlignment="1">
      <alignment horizontal="center"/>
    </xf>
    <xf numFmtId="4" fontId="205" fillId="95" borderId="6" xfId="0" applyNumberFormat="1" applyFont="1" applyFill="1" applyBorder="1" applyAlignment="1">
      <alignment horizontal="right"/>
    </xf>
    <xf numFmtId="0" fontId="205" fillId="95" borderId="6" xfId="0" applyFont="1" applyFill="1" applyBorder="1"/>
    <xf numFmtId="1" fontId="205" fillId="95" borderId="6" xfId="0" applyNumberFormat="1" applyFont="1" applyFill="1" applyBorder="1"/>
    <xf numFmtId="3" fontId="205" fillId="95" borderId="6" xfId="0" applyNumberFormat="1" applyFont="1" applyFill="1" applyBorder="1"/>
    <xf numFmtId="0" fontId="136" fillId="0" borderId="0" xfId="353" applyFont="1" applyAlignment="1">
      <alignment horizontal="center"/>
    </xf>
    <xf numFmtId="2" fontId="122" fillId="5" borderId="49" xfId="2" applyNumberFormat="1" applyFont="1" applyFill="1" applyBorder="1" applyAlignment="1">
      <alignment horizontal="left" vertical="center"/>
    </xf>
    <xf numFmtId="43" fontId="52" fillId="0" borderId="6" xfId="1" applyFont="1" applyBorder="1"/>
    <xf numFmtId="43" fontId="52" fillId="0" borderId="22" xfId="1" applyFont="1" applyBorder="1"/>
    <xf numFmtId="0" fontId="72" fillId="0" borderId="0" xfId="353" applyFont="1" applyFill="1" applyBorder="1" applyAlignment="1">
      <alignment horizontal="left" vertical="center"/>
    </xf>
    <xf numFmtId="0" fontId="116" fillId="0" borderId="0" xfId="353" applyFont="1" applyFill="1" applyBorder="1" applyAlignment="1">
      <alignment horizontal="left" vertical="center"/>
    </xf>
    <xf numFmtId="0" fontId="76" fillId="5" borderId="0" xfId="8" applyFont="1" applyFill="1" applyBorder="1" applyAlignment="1">
      <alignment horizontal="left" vertical="center" wrapText="1"/>
    </xf>
    <xf numFmtId="0" fontId="140" fillId="0" borderId="0" xfId="303" applyFont="1" applyFill="1" applyBorder="1" applyAlignment="1">
      <alignment horizontal="left" vertical="center" wrapText="1"/>
    </xf>
    <xf numFmtId="0" fontId="109" fillId="64" borderId="0" xfId="2" applyFont="1" applyFill="1" applyBorder="1" applyAlignment="1">
      <alignment horizontal="center" vertical="center" wrapText="1" shrinkToFit="1"/>
    </xf>
    <xf numFmtId="49" fontId="183" fillId="64" borderId="0" xfId="2" applyNumberFormat="1" applyFont="1" applyFill="1" applyBorder="1" applyAlignment="1">
      <alignment horizontal="center" vertical="center" wrapText="1" shrinkToFit="1"/>
    </xf>
    <xf numFmtId="0" fontId="28" fillId="0" borderId="0" xfId="303" applyBorder="1" applyAlignment="1">
      <alignment horizontal="center"/>
    </xf>
    <xf numFmtId="0" fontId="89" fillId="0" borderId="0" xfId="303" applyFont="1" applyBorder="1" applyAlignment="1">
      <alignment horizontal="center"/>
    </xf>
    <xf numFmtId="165" fontId="10" fillId="5" borderId="0" xfId="167" applyFont="1" applyFill="1" applyBorder="1"/>
    <xf numFmtId="165" fontId="148" fillId="0" borderId="0" xfId="167" applyFont="1" applyFill="1" applyBorder="1" applyAlignment="1">
      <alignment horizontal="center" vertical="center"/>
    </xf>
    <xf numFmtId="165" fontId="108" fillId="0" borderId="0" xfId="167" applyFont="1" applyFill="1" applyBorder="1" applyAlignment="1">
      <alignment horizontal="center" vertical="center"/>
    </xf>
    <xf numFmtId="0" fontId="51" fillId="0" borderId="0" xfId="353" applyFont="1" applyFill="1" applyBorder="1" applyAlignment="1">
      <alignment horizontal="center" vertical="center"/>
    </xf>
    <xf numFmtId="0" fontId="116" fillId="0" borderId="0" xfId="353" applyFont="1" applyFill="1" applyBorder="1" applyAlignment="1">
      <alignment horizontal="center" vertical="center" wrapText="1"/>
    </xf>
    <xf numFmtId="167" fontId="50" fillId="0" borderId="23" xfId="1" applyNumberFormat="1" applyFont="1" applyFill="1" applyBorder="1"/>
    <xf numFmtId="0" fontId="50" fillId="5" borderId="50" xfId="0" applyFont="1" applyFill="1" applyBorder="1"/>
    <xf numFmtId="167" fontId="49" fillId="73" borderId="96" xfId="1" applyNumberFormat="1" applyFont="1" applyFill="1" applyBorder="1"/>
    <xf numFmtId="167" fontId="49" fillId="0" borderId="20" xfId="1" applyNumberFormat="1" applyFont="1" applyBorder="1"/>
    <xf numFmtId="167" fontId="190" fillId="0" borderId="23" xfId="1" applyNumberFormat="1" applyFont="1" applyFill="1" applyBorder="1"/>
    <xf numFmtId="3" fontId="91" fillId="0" borderId="195" xfId="310" applyNumberFormat="1" applyFont="1" applyBorder="1" applyAlignment="1">
      <alignment horizontal="center" vertical="center"/>
    </xf>
    <xf numFmtId="0" fontId="50" fillId="5" borderId="96" xfId="0" applyFont="1" applyFill="1" applyBorder="1"/>
    <xf numFmtId="3" fontId="52" fillId="0" borderId="18" xfId="2" applyNumberFormat="1" applyFont="1" applyBorder="1" applyAlignment="1">
      <alignment horizontal="center" vertical="center"/>
    </xf>
    <xf numFmtId="43" fontId="53" fillId="5" borderId="147" xfId="0" applyNumberFormat="1" applyFont="1" applyFill="1" applyBorder="1" applyAlignment="1">
      <alignment vertical="center"/>
    </xf>
    <xf numFmtId="0" fontId="50" fillId="5" borderId="7" xfId="0" applyFont="1" applyFill="1" applyBorder="1"/>
    <xf numFmtId="3" fontId="52" fillId="0" borderId="15" xfId="2" applyNumberFormat="1" applyFont="1" applyFill="1" applyBorder="1" applyAlignment="1">
      <alignment horizontal="center" vertical="center"/>
    </xf>
    <xf numFmtId="167" fontId="49" fillId="0" borderId="32" xfId="1" applyNumberFormat="1" applyFont="1" applyBorder="1"/>
    <xf numFmtId="3" fontId="52" fillId="0" borderId="22" xfId="2" applyNumberFormat="1" applyFont="1" applyBorder="1" applyAlignment="1">
      <alignment horizontal="center" vertical="center"/>
    </xf>
    <xf numFmtId="3" fontId="52" fillId="0" borderId="21" xfId="2" applyNumberFormat="1" applyFont="1" applyFill="1" applyBorder="1" applyAlignment="1">
      <alignment horizontal="center" vertical="center"/>
    </xf>
    <xf numFmtId="167" fontId="50" fillId="0" borderId="1" xfId="418" applyNumberFormat="1" applyFont="1" applyBorder="1"/>
    <xf numFmtId="167" fontId="50" fillId="0" borderId="10" xfId="418" applyNumberFormat="1" applyFont="1" applyBorder="1"/>
    <xf numFmtId="167" fontId="50" fillId="0" borderId="7" xfId="418" applyNumberFormat="1" applyFont="1" applyBorder="1"/>
    <xf numFmtId="17" fontId="49" fillId="2" borderId="50" xfId="0" applyNumberFormat="1" applyFont="1" applyFill="1" applyBorder="1" applyAlignment="1">
      <alignment horizontal="center"/>
    </xf>
    <xf numFmtId="10" fontId="50" fillId="6" borderId="22" xfId="6" applyNumberFormat="1" applyFont="1" applyFill="1" applyBorder="1"/>
    <xf numFmtId="170" fontId="70" fillId="0" borderId="6" xfId="0" applyNumberFormat="1" applyFont="1" applyBorder="1" applyAlignment="1">
      <alignment vertical="center"/>
    </xf>
    <xf numFmtId="3" fontId="70" fillId="0" borderId="22" xfId="0" applyNumberFormat="1" applyFont="1" applyBorder="1" applyAlignment="1">
      <alignment horizontal="center" vertical="center"/>
    </xf>
    <xf numFmtId="170" fontId="70" fillId="0" borderId="49" xfId="0" applyNumberFormat="1" applyFont="1" applyBorder="1" applyAlignment="1">
      <alignment vertical="center"/>
    </xf>
    <xf numFmtId="3" fontId="70" fillId="0" borderId="18" xfId="0" applyNumberFormat="1" applyFont="1" applyBorder="1" applyAlignment="1">
      <alignment horizontal="center" vertical="center"/>
    </xf>
    <xf numFmtId="170" fontId="70" fillId="0" borderId="150" xfId="0" applyNumberFormat="1" applyFont="1" applyBorder="1" applyAlignment="1">
      <alignment vertical="center"/>
    </xf>
    <xf numFmtId="3" fontId="70" fillId="0" borderId="194" xfId="0" applyNumberFormat="1" applyFont="1" applyBorder="1" applyAlignment="1">
      <alignment horizontal="center" vertical="center"/>
    </xf>
    <xf numFmtId="0" fontId="50" fillId="0" borderId="0" xfId="0" applyFont="1"/>
    <xf numFmtId="0" fontId="50" fillId="0" borderId="0" xfId="0" applyFont="1" applyBorder="1"/>
    <xf numFmtId="0" fontId="50" fillId="0" borderId="15" xfId="0" applyFont="1" applyBorder="1"/>
    <xf numFmtId="0" fontId="50" fillId="0" borderId="0" xfId="0" applyFont="1"/>
    <xf numFmtId="0" fontId="50" fillId="0" borderId="0" xfId="0" applyFont="1" applyBorder="1"/>
    <xf numFmtId="0" fontId="50" fillId="0" borderId="21" xfId="0" applyFont="1" applyBorder="1"/>
    <xf numFmtId="0" fontId="50" fillId="0" borderId="17" xfId="0" applyFont="1" applyBorder="1"/>
    <xf numFmtId="3" fontId="52" fillId="0" borderId="6" xfId="2" applyNumberFormat="1" applyFont="1" applyBorder="1" applyAlignment="1">
      <alignment horizontal="center" vertical="center"/>
    </xf>
    <xf numFmtId="3" fontId="70" fillId="0" borderId="7" xfId="0" applyNumberFormat="1" applyFont="1" applyBorder="1" applyAlignment="1">
      <alignment vertical="center"/>
    </xf>
    <xf numFmtId="3" fontId="52" fillId="0" borderId="7" xfId="2" applyNumberFormat="1" applyFont="1" applyBorder="1" applyAlignment="1">
      <alignment horizontal="center" vertical="center"/>
    </xf>
    <xf numFmtId="3" fontId="70" fillId="0" borderId="20" xfId="0" applyNumberFormat="1" applyFont="1" applyBorder="1" applyAlignment="1">
      <alignment vertical="center"/>
    </xf>
    <xf numFmtId="3" fontId="70" fillId="0" borderId="49" xfId="0" applyNumberFormat="1" applyFont="1" applyBorder="1" applyAlignment="1">
      <alignment vertical="center"/>
    </xf>
    <xf numFmtId="3" fontId="52" fillId="0" borderId="49" xfId="2" applyNumberFormat="1" applyFont="1" applyBorder="1" applyAlignment="1">
      <alignment horizontal="center" vertical="center"/>
    </xf>
    <xf numFmtId="0" fontId="50" fillId="0" borderId="0" xfId="0" applyFont="1" applyBorder="1"/>
    <xf numFmtId="0" fontId="52" fillId="0" borderId="0" xfId="2" applyFont="1" applyBorder="1"/>
    <xf numFmtId="0" fontId="50" fillId="0" borderId="23" xfId="0" applyFont="1" applyBorder="1"/>
    <xf numFmtId="3" fontId="70" fillId="0" borderId="6" xfId="0" applyNumberFormat="1" applyFont="1" applyBorder="1" applyAlignment="1">
      <alignment vertical="center"/>
    </xf>
    <xf numFmtId="3" fontId="70" fillId="0" borderId="23" xfId="0" applyNumberFormat="1" applyFont="1" applyBorder="1" applyAlignment="1">
      <alignment vertical="center"/>
    </xf>
    <xf numFmtId="3" fontId="52" fillId="5" borderId="6" xfId="2" applyNumberFormat="1" applyFont="1" applyFill="1" applyBorder="1" applyAlignment="1">
      <alignment horizontal="center" vertical="center"/>
    </xf>
    <xf numFmtId="3" fontId="70" fillId="5" borderId="6" xfId="0" applyNumberFormat="1" applyFont="1" applyFill="1" applyBorder="1"/>
    <xf numFmtId="3" fontId="70" fillId="0" borderId="6" xfId="0" applyNumberFormat="1" applyFont="1" applyBorder="1"/>
    <xf numFmtId="167" fontId="49" fillId="0" borderId="20" xfId="1" applyNumberFormat="1" applyFont="1" applyBorder="1" applyAlignment="1">
      <alignment horizontal="right" vertical="center" wrapText="1"/>
    </xf>
    <xf numFmtId="43" fontId="49" fillId="5" borderId="18" xfId="1" applyFont="1" applyFill="1" applyBorder="1" applyAlignment="1">
      <alignment horizontal="center" vertical="center"/>
    </xf>
    <xf numFmtId="167" fontId="49" fillId="0" borderId="23" xfId="1" applyNumberFormat="1" applyFont="1" applyBorder="1" applyAlignment="1">
      <alignment horizontal="right" vertical="center" wrapText="1"/>
    </xf>
    <xf numFmtId="43" fontId="49" fillId="5" borderId="22" xfId="1" applyFont="1" applyFill="1" applyBorder="1" applyAlignment="1">
      <alignment horizontal="center" vertical="center"/>
    </xf>
    <xf numFmtId="167" fontId="49" fillId="0" borderId="23" xfId="418" applyNumberFormat="1" applyFont="1" applyBorder="1" applyAlignment="1">
      <alignment horizontal="right" vertical="center" wrapText="1"/>
    </xf>
    <xf numFmtId="167" fontId="49" fillId="0" borderId="17" xfId="418" applyNumberFormat="1" applyFont="1" applyBorder="1" applyAlignment="1">
      <alignment horizontal="right" vertical="center" wrapText="1"/>
    </xf>
    <xf numFmtId="43" fontId="49" fillId="5" borderId="15" xfId="1" applyFont="1" applyFill="1" applyBorder="1" applyAlignment="1">
      <alignment horizontal="center" vertical="center"/>
    </xf>
    <xf numFmtId="0" fontId="9" fillId="0" borderId="0" xfId="357" applyFont="1" applyAlignment="1"/>
    <xf numFmtId="4" fontId="9" fillId="0" borderId="140" xfId="357" applyNumberFormat="1" applyFont="1" applyBorder="1"/>
    <xf numFmtId="0" fontId="9" fillId="7" borderId="5" xfId="357" applyFont="1" applyFill="1" applyBorder="1" applyAlignment="1">
      <alignment horizontal="center" vertical="center"/>
    </xf>
    <xf numFmtId="4" fontId="9" fillId="7" borderId="5" xfId="357" applyNumberFormat="1" applyFont="1" applyFill="1" applyBorder="1" applyAlignment="1">
      <alignment horizontal="center" vertical="center"/>
    </xf>
    <xf numFmtId="10" fontId="9" fillId="7" borderId="5" xfId="6" applyNumberFormat="1" applyFont="1" applyFill="1" applyBorder="1" applyAlignment="1">
      <alignment horizontal="center" vertical="center"/>
    </xf>
    <xf numFmtId="10" fontId="9" fillId="7" borderId="167" xfId="6" applyNumberFormat="1" applyFont="1" applyFill="1" applyBorder="1" applyAlignment="1">
      <alignment horizontal="center"/>
    </xf>
    <xf numFmtId="10" fontId="9" fillId="7" borderId="5" xfId="6" applyNumberFormat="1" applyFont="1" applyFill="1" applyBorder="1" applyAlignment="1">
      <alignment horizontal="center"/>
    </xf>
    <xf numFmtId="10" fontId="7" fillId="7" borderId="106" xfId="6" applyNumberFormat="1" applyFont="1" applyFill="1" applyBorder="1" applyAlignment="1">
      <alignment horizontal="center"/>
    </xf>
    <xf numFmtId="4" fontId="9" fillId="0" borderId="0" xfId="357" applyNumberFormat="1" applyFont="1" applyBorder="1"/>
    <xf numFmtId="4" fontId="9" fillId="0" borderId="7" xfId="357" applyNumberFormat="1" applyFont="1" applyBorder="1"/>
    <xf numFmtId="180" fontId="9" fillId="0" borderId="7" xfId="357" applyNumberFormat="1" applyFont="1" applyBorder="1"/>
    <xf numFmtId="0" fontId="9" fillId="0" borderId="7" xfId="357" applyFont="1" applyBorder="1"/>
    <xf numFmtId="4" fontId="9" fillId="0" borderId="96" xfId="357" applyNumberFormat="1" applyFont="1" applyBorder="1"/>
    <xf numFmtId="0" fontId="89" fillId="0" borderId="14" xfId="357" applyFont="1" applyBorder="1"/>
    <xf numFmtId="0" fontId="9" fillId="0" borderId="13" xfId="357" applyFont="1" applyBorder="1"/>
    <xf numFmtId="0" fontId="89" fillId="0" borderId="25" xfId="357" applyFont="1" applyBorder="1"/>
    <xf numFmtId="4" fontId="89" fillId="0" borderId="25" xfId="357" applyNumberFormat="1" applyFont="1" applyBorder="1"/>
    <xf numFmtId="0" fontId="9" fillId="0" borderId="25" xfId="357" applyFont="1" applyBorder="1"/>
    <xf numFmtId="0" fontId="9" fillId="7" borderId="34" xfId="357" applyFont="1" applyFill="1" applyBorder="1" applyAlignment="1">
      <alignment horizontal="center" vertical="center"/>
    </xf>
    <xf numFmtId="0" fontId="9" fillId="0" borderId="31" xfId="357" applyFont="1" applyBorder="1"/>
    <xf numFmtId="4" fontId="9" fillId="0" borderId="32" xfId="357" applyNumberFormat="1" applyFont="1" applyBorder="1"/>
    <xf numFmtId="0" fontId="9" fillId="7" borderId="148" xfId="357" applyFont="1" applyFill="1" applyBorder="1" applyAlignment="1">
      <alignment horizontal="center" vertical="center"/>
    </xf>
    <xf numFmtId="0" fontId="70" fillId="0" borderId="0" xfId="0" applyFont="1" applyBorder="1" applyAlignment="1">
      <alignment horizontal="left"/>
    </xf>
    <xf numFmtId="0" fontId="70" fillId="0" borderId="0" xfId="0" applyFont="1" applyBorder="1"/>
    <xf numFmtId="0" fontId="70" fillId="0" borderId="0" xfId="0" applyFont="1"/>
    <xf numFmtId="17" fontId="208" fillId="4" borderId="116" xfId="0" applyNumberFormat="1" applyFont="1" applyFill="1" applyBorder="1" applyAlignment="1">
      <alignment horizontal="center" vertical="center"/>
    </xf>
    <xf numFmtId="17" fontId="208" fillId="4" borderId="39" xfId="0" applyNumberFormat="1" applyFont="1" applyFill="1" applyBorder="1" applyAlignment="1">
      <alignment horizontal="center" vertical="center"/>
    </xf>
    <xf numFmtId="17" fontId="208" fillId="4" borderId="180" xfId="0" applyNumberFormat="1" applyFont="1" applyFill="1" applyBorder="1" applyAlignment="1">
      <alignment horizontal="center" vertical="center"/>
    </xf>
    <xf numFmtId="17" fontId="208" fillId="77" borderId="39" xfId="0" applyNumberFormat="1" applyFont="1" applyFill="1" applyBorder="1" applyAlignment="1">
      <alignment horizontal="center" vertical="center" wrapText="1"/>
    </xf>
    <xf numFmtId="17" fontId="208" fillId="4" borderId="124" xfId="0" applyNumberFormat="1" applyFont="1" applyFill="1" applyBorder="1" applyAlignment="1">
      <alignment horizontal="center" vertical="center"/>
    </xf>
    <xf numFmtId="0" fontId="209" fillId="0" borderId="148" xfId="0" applyFont="1" applyBorder="1" applyAlignment="1">
      <alignment vertical="center"/>
    </xf>
    <xf numFmtId="4" fontId="70" fillId="0" borderId="34" xfId="0" applyNumberFormat="1" applyFont="1" applyFill="1" applyBorder="1" applyAlignment="1">
      <alignment vertical="center"/>
    </xf>
    <xf numFmtId="4" fontId="70" fillId="0" borderId="5" xfId="0" applyNumberFormat="1" applyFont="1" applyFill="1" applyBorder="1" applyAlignment="1">
      <alignment vertical="center"/>
    </xf>
    <xf numFmtId="4" fontId="70" fillId="0" borderId="167" xfId="0" applyNumberFormat="1" applyFont="1" applyFill="1" applyBorder="1" applyAlignment="1">
      <alignment vertical="center"/>
    </xf>
    <xf numFmtId="4" fontId="70" fillId="0" borderId="5" xfId="0" applyNumberFormat="1" applyFont="1" applyBorder="1"/>
    <xf numFmtId="4" fontId="70" fillId="0" borderId="34" xfId="0" applyNumberFormat="1" applyFont="1" applyBorder="1"/>
    <xf numFmtId="4" fontId="70" fillId="0" borderId="29" xfId="0" applyNumberFormat="1" applyFont="1" applyBorder="1"/>
    <xf numFmtId="4" fontId="70" fillId="0" borderId="183" xfId="0" applyNumberFormat="1" applyFont="1" applyBorder="1"/>
    <xf numFmtId="4" fontId="70" fillId="0" borderId="28" xfId="0" applyNumberFormat="1" applyFont="1" applyBorder="1"/>
    <xf numFmtId="43" fontId="70" fillId="0" borderId="221" xfId="1" applyNumberFormat="1" applyFont="1" applyBorder="1"/>
    <xf numFmtId="43" fontId="70" fillId="0" borderId="26" xfId="1" applyNumberFormat="1" applyFont="1" applyBorder="1"/>
    <xf numFmtId="43" fontId="70" fillId="0" borderId="222" xfId="1" applyNumberFormat="1" applyFont="1" applyBorder="1"/>
    <xf numFmtId="43" fontId="70" fillId="0" borderId="198" xfId="1" applyNumberFormat="1" applyFont="1" applyBorder="1"/>
    <xf numFmtId="43" fontId="70" fillId="0" borderId="186" xfId="1" applyNumberFormat="1" applyFont="1" applyBorder="1"/>
    <xf numFmtId="0" fontId="70" fillId="0" borderId="24" xfId="0" applyNumberFormat="1" applyFont="1" applyBorder="1"/>
    <xf numFmtId="0" fontId="70" fillId="0" borderId="0" xfId="0" applyNumberFormat="1" applyFont="1"/>
    <xf numFmtId="0" fontId="209" fillId="0" borderId="135" xfId="0" applyFont="1" applyBorder="1" applyAlignment="1">
      <alignment vertical="center"/>
    </xf>
    <xf numFmtId="4" fontId="70" fillId="0" borderId="31" xfId="0" applyNumberFormat="1" applyFont="1" applyFill="1" applyBorder="1" applyAlignment="1">
      <alignment vertical="center"/>
    </xf>
    <xf numFmtId="4" fontId="70" fillId="0" borderId="6" xfId="0" applyNumberFormat="1" applyFont="1" applyFill="1" applyBorder="1" applyAlignment="1">
      <alignment vertical="center"/>
    </xf>
    <xf numFmtId="4" fontId="70" fillId="0" borderId="22" xfId="0" applyNumberFormat="1" applyFont="1" applyFill="1" applyBorder="1" applyAlignment="1">
      <alignment vertical="center"/>
    </xf>
    <xf numFmtId="4" fontId="70" fillId="0" borderId="6" xfId="0" applyNumberFormat="1" applyFont="1" applyBorder="1"/>
    <xf numFmtId="4" fontId="70" fillId="0" borderId="31" xfId="0" applyNumberFormat="1" applyFont="1" applyBorder="1"/>
    <xf numFmtId="4" fontId="70" fillId="0" borderId="37" xfId="0" applyNumberFormat="1" applyFont="1" applyBorder="1"/>
    <xf numFmtId="4" fontId="70" fillId="5" borderId="130" xfId="0" applyNumberFormat="1" applyFont="1" applyFill="1" applyBorder="1"/>
    <xf numFmtId="4" fontId="70" fillId="0" borderId="35" xfId="0" applyNumberFormat="1" applyFont="1" applyBorder="1"/>
    <xf numFmtId="43" fontId="70" fillId="5" borderId="118" xfId="1" applyNumberFormat="1" applyFont="1" applyFill="1" applyBorder="1"/>
    <xf numFmtId="43" fontId="70" fillId="5" borderId="10" xfId="1" applyNumberFormat="1" applyFont="1" applyFill="1" applyBorder="1"/>
    <xf numFmtId="43" fontId="70" fillId="5" borderId="97" xfId="1" applyNumberFormat="1" applyFont="1" applyFill="1" applyBorder="1"/>
    <xf numFmtId="43" fontId="70" fillId="5" borderId="168" xfId="1" applyNumberFormat="1" applyFont="1" applyFill="1" applyBorder="1"/>
    <xf numFmtId="43" fontId="70" fillId="5" borderId="41" xfId="1" applyNumberFormat="1" applyFont="1" applyFill="1" applyBorder="1"/>
    <xf numFmtId="4" fontId="70" fillId="0" borderId="130" xfId="0" applyNumberFormat="1" applyFont="1" applyBorder="1"/>
    <xf numFmtId="43" fontId="70" fillId="0" borderId="118" xfId="1" applyNumberFormat="1" applyFont="1" applyBorder="1"/>
    <xf numFmtId="43" fontId="70" fillId="0" borderId="10" xfId="1" applyNumberFormat="1" applyFont="1" applyBorder="1"/>
    <xf numFmtId="43" fontId="70" fillId="0" borderId="97" xfId="1" applyNumberFormat="1" applyFont="1" applyBorder="1"/>
    <xf numFmtId="43" fontId="70" fillId="0" borderId="168" xfId="1" applyNumberFormat="1" applyFont="1" applyBorder="1"/>
    <xf numFmtId="43" fontId="70" fillId="0" borderId="41" xfId="1" applyNumberFormat="1" applyFont="1" applyBorder="1"/>
    <xf numFmtId="0" fontId="70" fillId="0" borderId="23" xfId="0" applyNumberFormat="1" applyFont="1" applyBorder="1"/>
    <xf numFmtId="43" fontId="70" fillId="0" borderId="47" xfId="1" applyNumberFormat="1" applyFont="1" applyBorder="1"/>
    <xf numFmtId="43" fontId="70" fillId="0" borderId="114" xfId="1" applyNumberFormat="1" applyFont="1" applyBorder="1"/>
    <xf numFmtId="0" fontId="209" fillId="0" borderId="179" xfId="0" applyFont="1" applyBorder="1" applyAlignment="1">
      <alignment vertical="center"/>
    </xf>
    <xf numFmtId="4" fontId="70" fillId="0" borderId="32" xfId="0" applyNumberFormat="1" applyFont="1" applyFill="1" applyBorder="1" applyAlignment="1">
      <alignment vertical="center"/>
    </xf>
    <xf numFmtId="4" fontId="70" fillId="0" borderId="7" xfId="0" applyNumberFormat="1" applyFont="1" applyFill="1" applyBorder="1" applyAlignment="1">
      <alignment vertical="center"/>
    </xf>
    <xf numFmtId="4" fontId="70" fillId="0" borderId="96" xfId="0" applyNumberFormat="1" applyFont="1" applyFill="1" applyBorder="1" applyAlignment="1">
      <alignment vertical="center"/>
    </xf>
    <xf numFmtId="4" fontId="70" fillId="0" borderId="7" xfId="0" applyNumberFormat="1" applyFont="1" applyBorder="1"/>
    <xf numFmtId="4" fontId="70" fillId="5" borderId="7" xfId="0" applyNumberFormat="1" applyFont="1" applyFill="1" applyBorder="1"/>
    <xf numFmtId="4" fontId="70" fillId="0" borderId="32" xfId="0" applyNumberFormat="1" applyFont="1" applyBorder="1"/>
    <xf numFmtId="4" fontId="70" fillId="5" borderId="32" xfId="0" applyNumberFormat="1" applyFont="1" applyFill="1" applyBorder="1"/>
    <xf numFmtId="4" fontId="70" fillId="5" borderId="8" xfId="0" applyNumberFormat="1" applyFont="1" applyFill="1" applyBorder="1"/>
    <xf numFmtId="4" fontId="70" fillId="0" borderId="191" xfId="0" applyNumberFormat="1" applyFont="1" applyBorder="1"/>
    <xf numFmtId="4" fontId="70" fillId="0" borderId="8" xfId="0" applyNumberFormat="1" applyFont="1" applyBorder="1"/>
    <xf numFmtId="4" fontId="70" fillId="0" borderId="36" xfId="0" applyNumberFormat="1" applyFont="1" applyFill="1" applyBorder="1" applyAlignment="1">
      <alignment vertical="center"/>
    </xf>
    <xf numFmtId="4" fontId="70" fillId="0" borderId="27" xfId="0" applyNumberFormat="1" applyFont="1" applyBorder="1"/>
    <xf numFmtId="4" fontId="70" fillId="0" borderId="30" xfId="0" applyNumberFormat="1" applyFont="1" applyBorder="1"/>
    <xf numFmtId="43" fontId="70" fillId="0" borderId="119" xfId="1" applyNumberFormat="1" applyFont="1" applyBorder="1"/>
    <xf numFmtId="43" fontId="70" fillId="0" borderId="199" xfId="1" applyNumberFormat="1" applyFont="1" applyBorder="1"/>
    <xf numFmtId="43" fontId="70" fillId="0" borderId="44" xfId="1" applyNumberFormat="1" applyFont="1" applyBorder="1"/>
    <xf numFmtId="0" fontId="70" fillId="5" borderId="23" xfId="0" applyNumberFormat="1" applyFont="1" applyFill="1" applyBorder="1"/>
    <xf numFmtId="2" fontId="208" fillId="75" borderId="181" xfId="2" applyNumberFormat="1" applyFont="1" applyFill="1" applyBorder="1" applyAlignment="1">
      <alignment horizontal="left" vertical="center"/>
    </xf>
    <xf numFmtId="3" fontId="208" fillId="75" borderId="48" xfId="0" applyNumberFormat="1" applyFont="1" applyFill="1" applyBorder="1" applyAlignment="1">
      <alignment vertical="center"/>
    </xf>
    <xf numFmtId="3" fontId="208" fillId="75" borderId="13" xfId="0" applyNumberFormat="1" applyFont="1" applyFill="1" applyBorder="1" applyAlignment="1">
      <alignment vertical="center"/>
    </xf>
    <xf numFmtId="3" fontId="208" fillId="75" borderId="12" xfId="0" applyNumberFormat="1" applyFont="1" applyFill="1" applyBorder="1" applyAlignment="1">
      <alignment vertical="center"/>
    </xf>
    <xf numFmtId="3" fontId="208" fillId="75" borderId="107" xfId="0" applyNumberFormat="1" applyFont="1" applyFill="1" applyBorder="1" applyAlignment="1">
      <alignment vertical="center"/>
    </xf>
    <xf numFmtId="3" fontId="208" fillId="75" borderId="153" xfId="0" applyNumberFormat="1" applyFont="1" applyFill="1" applyBorder="1" applyAlignment="1">
      <alignment vertical="center"/>
    </xf>
    <xf numFmtId="3" fontId="208" fillId="75" borderId="14" xfId="0" applyNumberFormat="1" applyFont="1" applyFill="1" applyBorder="1" applyAlignment="1">
      <alignment vertical="center"/>
    </xf>
    <xf numFmtId="0" fontId="70" fillId="0" borderId="23" xfId="0" applyFont="1" applyBorder="1"/>
    <xf numFmtId="0" fontId="70" fillId="0" borderId="24" xfId="0" applyFont="1" applyBorder="1"/>
    <xf numFmtId="49" fontId="70" fillId="0" borderId="188" xfId="2" applyNumberFormat="1" applyFont="1" applyFill="1" applyBorder="1" applyAlignment="1">
      <alignment horizontal="left" wrapText="1"/>
    </xf>
    <xf numFmtId="3" fontId="70" fillId="0" borderId="34" xfId="0" applyNumberFormat="1" applyFont="1" applyFill="1" applyBorder="1" applyAlignment="1"/>
    <xf numFmtId="3" fontId="70" fillId="0" borderId="5" xfId="0" applyNumberFormat="1" applyFont="1" applyFill="1" applyBorder="1" applyAlignment="1"/>
    <xf numFmtId="3" fontId="70" fillId="0" borderId="167" xfId="0" applyNumberFormat="1" applyFont="1" applyFill="1" applyBorder="1" applyAlignment="1"/>
    <xf numFmtId="3" fontId="70" fillId="0" borderId="19" xfId="0" applyNumberFormat="1" applyFont="1" applyFill="1" applyBorder="1" applyAlignment="1"/>
    <xf numFmtId="3" fontId="70" fillId="0" borderId="49" xfId="0" applyNumberFormat="1" applyFont="1" applyFill="1" applyBorder="1" applyAlignment="1"/>
    <xf numFmtId="0" fontId="70" fillId="0" borderId="49" xfId="0" applyFont="1" applyBorder="1" applyAlignment="1"/>
    <xf numFmtId="3" fontId="70" fillId="0" borderId="49" xfId="0" applyNumberFormat="1" applyFont="1" applyBorder="1" applyAlignment="1"/>
    <xf numFmtId="3" fontId="70" fillId="0" borderId="19" xfId="0" applyNumberFormat="1" applyFont="1" applyBorder="1" applyAlignment="1"/>
    <xf numFmtId="3" fontId="70" fillId="0" borderId="143" xfId="0" applyNumberFormat="1" applyFont="1" applyBorder="1" applyAlignment="1"/>
    <xf numFmtId="3" fontId="70" fillId="0" borderId="139" xfId="0" applyNumberFormat="1" applyFont="1" applyBorder="1" applyAlignment="1"/>
    <xf numFmtId="3" fontId="70" fillId="0" borderId="5" xfId="0" applyNumberFormat="1" applyFont="1" applyBorder="1" applyAlignment="1"/>
    <xf numFmtId="3" fontId="70" fillId="0" borderId="154" xfId="0" applyNumberFormat="1" applyFont="1" applyBorder="1" applyAlignment="1"/>
    <xf numFmtId="3" fontId="70" fillId="0" borderId="28" xfId="0" applyNumberFormat="1" applyFont="1" applyBorder="1" applyAlignment="1"/>
    <xf numFmtId="167" fontId="70" fillId="0" borderId="146" xfId="1" applyNumberFormat="1" applyFont="1" applyBorder="1"/>
    <xf numFmtId="167" fontId="70" fillId="0" borderId="109" xfId="1" applyNumberFormat="1" applyFont="1" applyBorder="1"/>
    <xf numFmtId="167" fontId="70" fillId="0" borderId="115" xfId="1" applyNumberFormat="1" applyFont="1" applyBorder="1"/>
    <xf numFmtId="167" fontId="70" fillId="0" borderId="210" xfId="1" applyNumberFormat="1" applyFont="1" applyBorder="1"/>
    <xf numFmtId="49" fontId="70" fillId="0" borderId="135" xfId="2" applyNumberFormat="1" applyFont="1" applyFill="1" applyBorder="1" applyAlignment="1">
      <alignment horizontal="left" vertical="center" wrapText="1"/>
    </xf>
    <xf numFmtId="3" fontId="70" fillId="0" borderId="31" xfId="0" applyNumberFormat="1" applyFont="1" applyFill="1" applyBorder="1" applyAlignment="1">
      <alignment vertical="center"/>
    </xf>
    <xf numFmtId="3" fontId="70" fillId="0" borderId="6" xfId="0" applyNumberFormat="1" applyFont="1" applyFill="1" applyBorder="1" applyAlignment="1">
      <alignment vertical="center"/>
    </xf>
    <xf numFmtId="3" fontId="70" fillId="0" borderId="22" xfId="0" applyNumberFormat="1" applyFont="1" applyFill="1" applyBorder="1" applyAlignment="1">
      <alignment vertical="center"/>
    </xf>
    <xf numFmtId="0" fontId="70" fillId="0" borderId="6" xfId="0" applyFont="1" applyBorder="1"/>
    <xf numFmtId="3" fontId="70" fillId="0" borderId="31" xfId="0" applyNumberFormat="1" applyFont="1" applyBorder="1"/>
    <xf numFmtId="3" fontId="70" fillId="0" borderId="37" xfId="0" applyNumberFormat="1" applyFont="1" applyBorder="1"/>
    <xf numFmtId="3" fontId="70" fillId="0" borderId="130" xfId="0" applyNumberFormat="1" applyFont="1" applyBorder="1"/>
    <xf numFmtId="3" fontId="70" fillId="0" borderId="35" xfId="0" applyNumberFormat="1" applyFont="1" applyBorder="1"/>
    <xf numFmtId="3" fontId="70" fillId="0" borderId="28" xfId="0" applyNumberFormat="1" applyFont="1" applyBorder="1"/>
    <xf numFmtId="167" fontId="70" fillId="0" borderId="221" xfId="1" applyNumberFormat="1" applyFont="1" applyBorder="1"/>
    <xf numFmtId="167" fontId="70" fillId="0" borderId="211" xfId="1" applyNumberFormat="1" applyFont="1" applyBorder="1"/>
    <xf numFmtId="167" fontId="70" fillId="0" borderId="141" xfId="1" applyNumberFormat="1" applyFont="1" applyBorder="1"/>
    <xf numFmtId="167" fontId="70" fillId="0" borderId="198" xfId="1" applyNumberFormat="1" applyFont="1" applyBorder="1"/>
    <xf numFmtId="49" fontId="70" fillId="0" borderId="179" xfId="2" applyNumberFormat="1" applyFont="1" applyFill="1" applyBorder="1" applyAlignment="1">
      <alignment horizontal="left" vertical="center" wrapText="1"/>
    </xf>
    <xf numFmtId="3" fontId="70" fillId="0" borderId="32" xfId="0" applyNumberFormat="1" applyFont="1" applyFill="1" applyBorder="1" applyAlignment="1">
      <alignment vertical="center"/>
    </xf>
    <xf numFmtId="3" fontId="70" fillId="0" borderId="7" xfId="0" applyNumberFormat="1" applyFont="1" applyFill="1" applyBorder="1" applyAlignment="1">
      <alignment vertical="center"/>
    </xf>
    <xf numFmtId="3" fontId="70" fillId="0" borderId="96" xfId="0" applyNumberFormat="1" applyFont="1" applyFill="1" applyBorder="1" applyAlignment="1">
      <alignment vertical="center"/>
    </xf>
    <xf numFmtId="0" fontId="70" fillId="0" borderId="7" xfId="0" applyFont="1" applyBorder="1"/>
    <xf numFmtId="3" fontId="70" fillId="0" borderId="7" xfId="0" applyNumberFormat="1" applyFont="1" applyBorder="1"/>
    <xf numFmtId="3" fontId="70" fillId="0" borderId="32" xfId="0" applyNumberFormat="1" applyFont="1" applyBorder="1"/>
    <xf numFmtId="3" fontId="70" fillId="0" borderId="8" xfId="0" applyNumberFormat="1" applyFont="1" applyBorder="1"/>
    <xf numFmtId="3" fontId="70" fillId="0" borderId="191" xfId="0" applyNumberFormat="1" applyFont="1" applyBorder="1"/>
    <xf numFmtId="3" fontId="70" fillId="0" borderId="36" xfId="0" applyNumberFormat="1" applyFont="1" applyBorder="1" applyAlignment="1"/>
    <xf numFmtId="3" fontId="70" fillId="0" borderId="27" xfId="0" applyNumberFormat="1" applyFont="1" applyBorder="1"/>
    <xf numFmtId="3" fontId="70" fillId="0" borderId="30" xfId="0" applyNumberFormat="1" applyFont="1" applyBorder="1"/>
    <xf numFmtId="167" fontId="70" fillId="0" borderId="51" xfId="1" applyNumberFormat="1" applyFont="1" applyBorder="1" applyAlignment="1">
      <alignment horizontal="right" vertical="center"/>
    </xf>
    <xf numFmtId="167" fontId="70" fillId="0" borderId="242" xfId="1" applyNumberFormat="1" applyFont="1" applyBorder="1" applyAlignment="1">
      <alignment horizontal="right" vertical="center"/>
    </xf>
    <xf numFmtId="167" fontId="70" fillId="0" borderId="202" xfId="1" applyNumberFormat="1" applyFont="1" applyBorder="1" applyAlignment="1">
      <alignment horizontal="right" vertical="center"/>
    </xf>
    <xf numFmtId="167" fontId="70" fillId="0" borderId="33" xfId="1" applyNumberFormat="1" applyFont="1" applyBorder="1" applyAlignment="1">
      <alignment horizontal="right" vertical="center"/>
    </xf>
    <xf numFmtId="49" fontId="208" fillId="75" borderId="181" xfId="2" applyNumberFormat="1" applyFont="1" applyFill="1" applyBorder="1" applyAlignment="1">
      <alignment horizontal="left" vertical="center" wrapText="1"/>
    </xf>
    <xf numFmtId="2" fontId="70" fillId="0" borderId="148" xfId="2" applyNumberFormat="1" applyFont="1" applyFill="1" applyBorder="1" applyAlignment="1">
      <alignment vertical="center"/>
    </xf>
    <xf numFmtId="4" fontId="70" fillId="0" borderId="19" xfId="0" applyNumberFormat="1" applyFont="1" applyFill="1" applyBorder="1" applyAlignment="1">
      <alignment vertical="center"/>
    </xf>
    <xf numFmtId="4" fontId="70" fillId="0" borderId="49" xfId="0" applyNumberFormat="1" applyFont="1" applyFill="1" applyBorder="1" applyAlignment="1">
      <alignment vertical="center"/>
    </xf>
    <xf numFmtId="4" fontId="70" fillId="0" borderId="18" xfId="0" applyNumberFormat="1" applyFont="1" applyFill="1" applyBorder="1" applyAlignment="1">
      <alignment vertical="center"/>
    </xf>
    <xf numFmtId="4" fontId="70" fillId="0" borderId="49" xfId="0" applyNumberFormat="1" applyFont="1" applyBorder="1" applyAlignment="1"/>
    <xf numFmtId="3" fontId="70" fillId="0" borderId="49" xfId="1" applyNumberFormat="1" applyFont="1" applyBorder="1" applyAlignment="1">
      <alignment vertical="center"/>
    </xf>
    <xf numFmtId="3" fontId="70" fillId="0" borderId="5" xfId="0" applyNumberFormat="1" applyFont="1" applyBorder="1"/>
    <xf numFmtId="43" fontId="70" fillId="0" borderId="147" xfId="1" applyNumberFormat="1" applyFont="1" applyBorder="1" applyAlignment="1">
      <alignment vertical="center"/>
    </xf>
    <xf numFmtId="43" fontId="70" fillId="0" borderId="150" xfId="1" applyNumberFormat="1" applyFont="1" applyBorder="1" applyAlignment="1">
      <alignment vertical="center"/>
    </xf>
    <xf numFmtId="43" fontId="70" fillId="0" borderId="194" xfId="1" applyNumberFormat="1" applyFont="1" applyBorder="1" applyAlignment="1">
      <alignment vertical="center"/>
    </xf>
    <xf numFmtId="43" fontId="70" fillId="0" borderId="155" xfId="1" applyNumberFormat="1" applyFont="1" applyBorder="1" applyAlignment="1">
      <alignment vertical="center"/>
    </xf>
    <xf numFmtId="0" fontId="70" fillId="0" borderId="31" xfId="0" applyFont="1" applyBorder="1"/>
    <xf numFmtId="2" fontId="70" fillId="0" borderId="135" xfId="2" applyNumberFormat="1" applyFont="1" applyFill="1" applyBorder="1" applyAlignment="1">
      <alignment vertical="center"/>
    </xf>
    <xf numFmtId="4" fontId="70" fillId="0" borderId="6" xfId="0" applyNumberFormat="1" applyFont="1" applyBorder="1" applyAlignment="1"/>
    <xf numFmtId="3" fontId="70" fillId="0" borderId="6" xfId="0" applyNumberFormat="1" applyFont="1" applyBorder="1" applyAlignment="1"/>
    <xf numFmtId="3" fontId="70" fillId="0" borderId="6" xfId="1" applyNumberFormat="1" applyFont="1" applyBorder="1" applyAlignment="1">
      <alignment vertical="center"/>
    </xf>
    <xf numFmtId="3" fontId="70" fillId="0" borderId="31" xfId="0" applyNumberFormat="1" applyFont="1" applyBorder="1" applyAlignment="1"/>
    <xf numFmtId="3" fontId="70" fillId="0" borderId="37" xfId="0" applyNumberFormat="1" applyFont="1" applyBorder="1" applyAlignment="1"/>
    <xf numFmtId="3" fontId="70" fillId="0" borderId="130" xfId="0" applyNumberFormat="1" applyFont="1" applyBorder="1" applyAlignment="1"/>
    <xf numFmtId="3" fontId="70" fillId="0" borderId="35" xfId="0" applyNumberFormat="1" applyFont="1" applyBorder="1" applyAlignment="1"/>
    <xf numFmtId="43" fontId="70" fillId="0" borderId="119" xfId="1" applyNumberFormat="1" applyFont="1" applyBorder="1" applyAlignment="1">
      <alignment vertical="center"/>
    </xf>
    <xf numFmtId="43" fontId="70" fillId="0" borderId="47" xfId="1" applyNumberFormat="1" applyFont="1" applyBorder="1" applyAlignment="1">
      <alignment vertical="center"/>
    </xf>
    <xf numFmtId="43" fontId="70" fillId="0" borderId="114" xfId="1" applyNumberFormat="1" applyFont="1" applyBorder="1" applyAlignment="1">
      <alignment vertical="center"/>
    </xf>
    <xf numFmtId="43" fontId="70" fillId="0" borderId="199" xfId="1" applyNumberFormat="1" applyFont="1" applyBorder="1" applyAlignment="1">
      <alignment vertical="center"/>
    </xf>
    <xf numFmtId="43" fontId="70" fillId="0" borderId="213" xfId="1" applyNumberFormat="1" applyFont="1" applyBorder="1" applyAlignment="1">
      <alignment vertical="center"/>
    </xf>
    <xf numFmtId="43" fontId="70" fillId="0" borderId="224" xfId="1" applyNumberFormat="1" applyFont="1" applyBorder="1" applyAlignment="1">
      <alignment vertical="center"/>
    </xf>
    <xf numFmtId="3" fontId="70" fillId="5" borderId="6" xfId="0" applyNumberFormat="1" applyFont="1" applyFill="1" applyBorder="1" applyAlignment="1"/>
    <xf numFmtId="3" fontId="70" fillId="5" borderId="37" xfId="0" applyNumberFormat="1" applyFont="1" applyFill="1" applyBorder="1" applyAlignment="1"/>
    <xf numFmtId="3" fontId="70" fillId="5" borderId="35" xfId="0" applyNumberFormat="1" applyFont="1" applyFill="1" applyBorder="1" applyAlignment="1"/>
    <xf numFmtId="3" fontId="70" fillId="5" borderId="28" xfId="0" applyNumberFormat="1" applyFont="1" applyFill="1" applyBorder="1" applyAlignment="1"/>
    <xf numFmtId="2" fontId="70" fillId="0" borderId="179" xfId="2" applyNumberFormat="1" applyFont="1" applyFill="1" applyBorder="1" applyAlignment="1">
      <alignment vertical="center"/>
    </xf>
    <xf numFmtId="4" fontId="70" fillId="0" borderId="7" xfId="0" applyNumberFormat="1" applyFont="1" applyBorder="1" applyAlignment="1"/>
    <xf numFmtId="3" fontId="70" fillId="0" borderId="7" xfId="0" applyNumberFormat="1" applyFont="1" applyBorder="1" applyAlignment="1"/>
    <xf numFmtId="3" fontId="70" fillId="0" borderId="7" xfId="1" applyNumberFormat="1" applyFont="1" applyBorder="1" applyAlignment="1">
      <alignment vertical="center"/>
    </xf>
    <xf numFmtId="3" fontId="70" fillId="0" borderId="32" xfId="0" applyNumberFormat="1" applyFont="1" applyBorder="1" applyAlignment="1"/>
    <xf numFmtId="3" fontId="70" fillId="0" borderId="8" xfId="0" applyNumberFormat="1" applyFont="1" applyBorder="1" applyAlignment="1"/>
    <xf numFmtId="3" fontId="70" fillId="0" borderId="191" xfId="0" applyNumberFormat="1" applyFont="1" applyBorder="1" applyAlignment="1"/>
    <xf numFmtId="3" fontId="70" fillId="0" borderId="36" xfId="0" applyNumberFormat="1" applyFont="1" applyBorder="1"/>
    <xf numFmtId="3" fontId="70" fillId="0" borderId="27" xfId="0" applyNumberFormat="1" applyFont="1" applyBorder="1" applyAlignment="1"/>
    <xf numFmtId="3" fontId="70" fillId="0" borderId="30" xfId="0" applyNumberFormat="1" applyFont="1" applyBorder="1" applyAlignment="1"/>
    <xf numFmtId="43" fontId="70" fillId="5" borderId="119" xfId="1" applyNumberFormat="1" applyFont="1" applyFill="1" applyBorder="1" applyAlignment="1">
      <alignment vertical="center"/>
    </xf>
    <xf numFmtId="43" fontId="70" fillId="5" borderId="213" xfId="1" applyNumberFormat="1" applyFont="1" applyFill="1" applyBorder="1" applyAlignment="1">
      <alignment vertical="center"/>
    </xf>
    <xf numFmtId="43" fontId="70" fillId="5" borderId="224" xfId="1" applyNumberFormat="1" applyFont="1" applyFill="1" applyBorder="1" applyAlignment="1">
      <alignment vertical="center"/>
    </xf>
    <xf numFmtId="43" fontId="70" fillId="5" borderId="199" xfId="1" applyNumberFormat="1" applyFont="1" applyFill="1" applyBorder="1" applyAlignment="1">
      <alignment vertical="center"/>
    </xf>
    <xf numFmtId="2" fontId="208" fillId="75" borderId="181" xfId="2" applyNumberFormat="1" applyFont="1" applyFill="1" applyBorder="1" applyAlignment="1">
      <alignment vertical="center"/>
    </xf>
    <xf numFmtId="4" fontId="208" fillId="75" borderId="48" xfId="0" applyNumberFormat="1" applyFont="1" applyFill="1" applyBorder="1" applyAlignment="1">
      <alignment vertical="center"/>
    </xf>
    <xf numFmtId="4" fontId="208" fillId="75" borderId="13" xfId="0" applyNumberFormat="1" applyFont="1" applyFill="1" applyBorder="1" applyAlignment="1">
      <alignment vertical="center"/>
    </xf>
    <xf numFmtId="4" fontId="208" fillId="75" borderId="12" xfId="0" applyNumberFormat="1" applyFont="1" applyFill="1" applyBorder="1" applyAlignment="1">
      <alignment vertical="center"/>
    </xf>
    <xf numFmtId="2" fontId="70" fillId="0" borderId="188" xfId="2" applyNumberFormat="1" applyFont="1" applyFill="1" applyBorder="1" applyAlignment="1">
      <alignment vertical="center"/>
    </xf>
    <xf numFmtId="167" fontId="70" fillId="0" borderId="5" xfId="1" applyNumberFormat="1" applyFont="1" applyBorder="1"/>
    <xf numFmtId="3" fontId="70" fillId="0" borderId="5" xfId="1" applyNumberFormat="1" applyFont="1" applyBorder="1"/>
    <xf numFmtId="3" fontId="70" fillId="0" borderId="34" xfId="1" applyNumberFormat="1" applyFont="1" applyBorder="1"/>
    <xf numFmtId="3" fontId="70" fillId="0" borderId="29" xfId="0" applyNumberFormat="1" applyFont="1" applyBorder="1" applyAlignment="1"/>
    <xf numFmtId="3" fontId="70" fillId="0" borderId="183" xfId="1" applyNumberFormat="1" applyFont="1" applyBorder="1"/>
    <xf numFmtId="3" fontId="70" fillId="0" borderId="29" xfId="1" applyNumberFormat="1" applyFont="1" applyBorder="1"/>
    <xf numFmtId="3" fontId="70" fillId="0" borderId="28" xfId="1" applyNumberFormat="1" applyFont="1" applyBorder="1"/>
    <xf numFmtId="167" fontId="53" fillId="0" borderId="24" xfId="1" applyNumberFormat="1" applyFont="1" applyBorder="1"/>
    <xf numFmtId="167" fontId="53" fillId="0" borderId="5" xfId="1" applyNumberFormat="1" applyFont="1" applyBorder="1"/>
    <xf numFmtId="167" fontId="53" fillId="0" borderId="167" xfId="1" applyNumberFormat="1" applyFont="1" applyBorder="1"/>
    <xf numFmtId="167" fontId="53" fillId="0" borderId="34" xfId="1" applyNumberFormat="1" applyFont="1" applyBorder="1"/>
    <xf numFmtId="167" fontId="70" fillId="0" borderId="6" xfId="1" applyNumberFormat="1" applyFont="1" applyBorder="1"/>
    <xf numFmtId="3" fontId="70" fillId="0" borderId="6" xfId="1" applyNumberFormat="1" applyFont="1" applyBorder="1"/>
    <xf numFmtId="3" fontId="70" fillId="0" borderId="31" xfId="1" applyNumberFormat="1" applyFont="1" applyBorder="1"/>
    <xf numFmtId="3" fontId="70" fillId="0" borderId="37" xfId="1" applyNumberFormat="1" applyFont="1" applyBorder="1"/>
    <xf numFmtId="3" fontId="70" fillId="0" borderId="130" xfId="1" applyNumberFormat="1" applyFont="1" applyBorder="1"/>
    <xf numFmtId="3" fontId="70" fillId="0" borderId="35" xfId="1" applyNumberFormat="1" applyFont="1" applyBorder="1"/>
    <xf numFmtId="167" fontId="53" fillId="0" borderId="23" xfId="1" applyNumberFormat="1" applyFont="1" applyBorder="1"/>
    <xf numFmtId="167" fontId="53" fillId="0" borderId="6" xfId="1" applyNumberFormat="1" applyFont="1" applyBorder="1"/>
    <xf numFmtId="167" fontId="53" fillId="0" borderId="22" xfId="1" applyNumberFormat="1" applyFont="1" applyBorder="1"/>
    <xf numFmtId="167" fontId="53" fillId="0" borderId="31" xfId="1" applyNumberFormat="1" applyFont="1" applyBorder="1"/>
    <xf numFmtId="167" fontId="70" fillId="0" borderId="7" xfId="1" applyNumberFormat="1" applyFont="1" applyBorder="1"/>
    <xf numFmtId="3" fontId="70" fillId="0" borderId="7" xfId="1" applyNumberFormat="1" applyFont="1" applyBorder="1"/>
    <xf numFmtId="3" fontId="70" fillId="0" borderId="32" xfId="1" applyNumberFormat="1" applyFont="1" applyBorder="1"/>
    <xf numFmtId="3" fontId="70" fillId="0" borderId="8" xfId="1" applyNumberFormat="1" applyFont="1" applyBorder="1"/>
    <xf numFmtId="3" fontId="70" fillId="0" borderId="191" xfId="1" applyNumberFormat="1" applyFont="1" applyBorder="1"/>
    <xf numFmtId="3" fontId="70" fillId="0" borderId="27" xfId="1" applyNumberFormat="1" applyFont="1" applyBorder="1"/>
    <xf numFmtId="167" fontId="53" fillId="0" borderId="50" xfId="1" applyNumberFormat="1" applyFont="1" applyBorder="1"/>
    <xf numFmtId="167" fontId="53" fillId="0" borderId="7" xfId="1" applyNumberFormat="1" applyFont="1" applyBorder="1"/>
    <xf numFmtId="167" fontId="53" fillId="0" borderId="96" xfId="1" applyNumberFormat="1" applyFont="1" applyBorder="1"/>
    <xf numFmtId="167" fontId="53" fillId="0" borderId="32" xfId="1" applyNumberFormat="1" applyFont="1" applyBorder="1"/>
    <xf numFmtId="3" fontId="208" fillId="75" borderId="25" xfId="0" applyNumberFormat="1" applyFont="1" applyFill="1" applyBorder="1" applyAlignment="1">
      <alignment vertical="center"/>
    </xf>
    <xf numFmtId="167" fontId="70" fillId="0" borderId="147" xfId="1" applyNumberFormat="1" applyFont="1" applyBorder="1"/>
    <xf numFmtId="167" fontId="70" fillId="0" borderId="150" xfId="1" applyNumberFormat="1" applyFont="1" applyBorder="1"/>
    <xf numFmtId="167" fontId="70" fillId="0" borderId="194" xfId="1" applyNumberFormat="1" applyFont="1" applyBorder="1"/>
    <xf numFmtId="167" fontId="70" fillId="0" borderId="155" xfId="1" applyNumberFormat="1" applyFont="1" applyBorder="1"/>
    <xf numFmtId="167" fontId="70" fillId="0" borderId="119" xfId="1" applyNumberFormat="1" applyFont="1" applyBorder="1"/>
    <xf numFmtId="167" fontId="70" fillId="0" borderId="47" xfId="1" applyNumberFormat="1" applyFont="1" applyBorder="1"/>
    <xf numFmtId="167" fontId="70" fillId="0" borderId="114" xfId="1" applyNumberFormat="1" applyFont="1" applyBorder="1"/>
    <xf numFmtId="167" fontId="70" fillId="0" borderId="199" xfId="1" applyNumberFormat="1" applyFont="1" applyBorder="1"/>
    <xf numFmtId="0" fontId="70" fillId="0" borderId="6" xfId="0" applyFont="1" applyBorder="1" applyAlignment="1">
      <alignment horizontal="left" vertical="center" wrapText="1"/>
    </xf>
    <xf numFmtId="0" fontId="70" fillId="0" borderId="6" xfId="0" applyFont="1" applyBorder="1" applyAlignment="1">
      <alignment horizontal="center" vertical="center"/>
    </xf>
    <xf numFmtId="0" fontId="70" fillId="0" borderId="35" xfId="0" applyFont="1" applyBorder="1" applyAlignment="1">
      <alignment horizontal="center" vertical="center" wrapText="1"/>
    </xf>
    <xf numFmtId="0" fontId="70" fillId="0" borderId="188" xfId="0" applyFont="1" applyBorder="1" applyAlignment="1">
      <alignment vertical="center"/>
    </xf>
    <xf numFmtId="10" fontId="70" fillId="0" borderId="34" xfId="6" applyNumberFormat="1" applyFont="1" applyBorder="1" applyAlignment="1">
      <alignment horizontal="center" vertical="center"/>
    </xf>
    <xf numFmtId="10" fontId="70" fillId="0" borderId="5" xfId="6" applyNumberFormat="1" applyFont="1" applyBorder="1" applyAlignment="1">
      <alignment horizontal="center" vertical="center"/>
    </xf>
    <xf numFmtId="10" fontId="70" fillId="0" borderId="167" xfId="6" applyNumberFormat="1" applyFont="1" applyBorder="1" applyAlignment="1">
      <alignment horizontal="center" vertical="center"/>
    </xf>
    <xf numFmtId="10" fontId="70" fillId="0" borderId="28" xfId="6" applyNumberFormat="1" applyFont="1" applyBorder="1" applyAlignment="1">
      <alignment horizontal="center" vertical="center"/>
    </xf>
    <xf numFmtId="10" fontId="70" fillId="0" borderId="24" xfId="6" applyNumberFormat="1" applyFont="1" applyBorder="1" applyAlignment="1">
      <alignment horizontal="center" vertical="center"/>
    </xf>
    <xf numFmtId="2" fontId="70" fillId="0" borderId="0" xfId="0" applyNumberFormat="1" applyFont="1"/>
    <xf numFmtId="49" fontId="208" fillId="5" borderId="153" xfId="0" applyNumberFormat="1" applyFont="1" applyFill="1" applyBorder="1" applyAlignment="1">
      <alignment horizontal="center" vertical="center"/>
    </xf>
    <xf numFmtId="0" fontId="70" fillId="0" borderId="21" xfId="0" applyFont="1" applyBorder="1" applyAlignment="1">
      <alignment horizontal="left" vertical="center" wrapText="1"/>
    </xf>
    <xf numFmtId="0" fontId="70" fillId="0" borderId="21" xfId="0" applyFont="1" applyBorder="1" applyAlignment="1">
      <alignment horizontal="center" vertical="center"/>
    </xf>
    <xf numFmtId="0" fontId="70" fillId="0" borderId="87" xfId="0" applyFont="1" applyBorder="1" applyAlignment="1">
      <alignment horizontal="center" vertical="center" wrapText="1"/>
    </xf>
    <xf numFmtId="0" fontId="70" fillId="0" borderId="192" xfId="0" applyFont="1" applyBorder="1" applyAlignment="1">
      <alignment vertical="center"/>
    </xf>
    <xf numFmtId="10" fontId="53" fillId="5" borderId="16" xfId="6" applyNumberFormat="1" applyFont="1" applyFill="1" applyBorder="1" applyAlignment="1">
      <alignment vertical="center"/>
    </xf>
    <xf numFmtId="10" fontId="53" fillId="5" borderId="21" xfId="6" applyNumberFormat="1" applyFont="1" applyFill="1" applyBorder="1" applyAlignment="1">
      <alignment vertical="center"/>
    </xf>
    <xf numFmtId="10" fontId="53" fillId="5" borderId="15" xfId="6" applyNumberFormat="1" applyFont="1" applyFill="1" applyBorder="1" applyAlignment="1">
      <alignment vertical="center"/>
    </xf>
    <xf numFmtId="10" fontId="53" fillId="5" borderId="33" xfId="6" applyNumberFormat="1" applyFont="1" applyFill="1" applyBorder="1" applyAlignment="1">
      <alignment vertical="center"/>
    </xf>
    <xf numFmtId="10" fontId="53" fillId="5" borderId="36" xfId="6" applyNumberFormat="1" applyFont="1" applyFill="1" applyBorder="1" applyAlignment="1">
      <alignment vertical="center"/>
    </xf>
    <xf numFmtId="10" fontId="53" fillId="5" borderId="36" xfId="6" applyNumberFormat="1" applyFont="1" applyFill="1" applyBorder="1" applyAlignment="1">
      <alignment horizontal="center" vertical="center"/>
    </xf>
    <xf numFmtId="10" fontId="53" fillId="5" borderId="30" xfId="6" applyNumberFormat="1" applyFont="1" applyFill="1" applyBorder="1" applyAlignment="1">
      <alignment horizontal="center" vertical="center"/>
    </xf>
    <xf numFmtId="10" fontId="53" fillId="5" borderId="21" xfId="6" applyNumberFormat="1" applyFont="1" applyFill="1" applyBorder="1" applyAlignment="1">
      <alignment horizontal="center" vertical="center"/>
    </xf>
    <xf numFmtId="10" fontId="53" fillId="5" borderId="87" xfId="6" applyNumberFormat="1" applyFont="1" applyFill="1" applyBorder="1" applyAlignment="1">
      <alignment horizontal="center" vertical="center"/>
    </xf>
    <xf numFmtId="10" fontId="53" fillId="5" borderId="17" xfId="6" applyNumberFormat="1" applyFont="1" applyFill="1" applyBorder="1" applyAlignment="1">
      <alignment horizontal="center" vertical="center"/>
    </xf>
    <xf numFmtId="10" fontId="53" fillId="5" borderId="15" xfId="6" applyNumberFormat="1" applyFont="1" applyFill="1" applyBorder="1" applyAlignment="1">
      <alignment horizontal="center" vertical="center"/>
    </xf>
    <xf numFmtId="10" fontId="53" fillId="5" borderId="16" xfId="6" applyNumberFormat="1" applyFont="1" applyFill="1" applyBorder="1" applyAlignment="1">
      <alignment horizontal="center" vertical="center"/>
    </xf>
    <xf numFmtId="0" fontId="70" fillId="5" borderId="188" xfId="0" applyFont="1" applyFill="1" applyBorder="1" applyAlignment="1">
      <alignment vertical="center"/>
    </xf>
    <xf numFmtId="4" fontId="70" fillId="0" borderId="28" xfId="0" applyNumberFormat="1" applyFont="1" applyFill="1" applyBorder="1" applyAlignment="1">
      <alignment vertical="center"/>
    </xf>
    <xf numFmtId="4" fontId="70" fillId="0" borderId="20" xfId="0" applyNumberFormat="1" applyFont="1" applyFill="1" applyBorder="1" applyAlignment="1">
      <alignment vertical="center"/>
    </xf>
    <xf numFmtId="4" fontId="70" fillId="0" borderId="154" xfId="0" applyNumberFormat="1" applyFont="1" applyFill="1" applyBorder="1" applyAlignment="1">
      <alignment vertical="center"/>
    </xf>
    <xf numFmtId="4" fontId="70" fillId="0" borderId="49" xfId="0" applyNumberFormat="1" applyFont="1" applyBorder="1"/>
    <xf numFmtId="4" fontId="70" fillId="0" borderId="19" xfId="0" applyNumberFormat="1" applyFont="1" applyBorder="1"/>
    <xf numFmtId="4" fontId="70" fillId="0" borderId="143" xfId="0" applyNumberFormat="1" applyFont="1" applyBorder="1"/>
    <xf numFmtId="4" fontId="70" fillId="0" borderId="139" xfId="0" applyNumberFormat="1" applyFont="1" applyBorder="1"/>
    <xf numFmtId="4" fontId="70" fillId="0" borderId="18" xfId="0" applyNumberFormat="1" applyFont="1" applyBorder="1"/>
    <xf numFmtId="4" fontId="70" fillId="0" borderId="154" xfId="0" applyNumberFormat="1" applyFont="1" applyBorder="1"/>
    <xf numFmtId="4" fontId="70" fillId="0" borderId="167" xfId="0" applyNumberFormat="1" applyFont="1" applyBorder="1"/>
    <xf numFmtId="4" fontId="70" fillId="0" borderId="35" xfId="0" applyNumberFormat="1" applyFont="1" applyFill="1" applyBorder="1" applyAlignment="1">
      <alignment vertical="center"/>
    </xf>
    <xf numFmtId="4" fontId="70" fillId="0" borderId="23" xfId="0" applyNumberFormat="1" applyFont="1" applyFill="1" applyBorder="1" applyAlignment="1">
      <alignment vertical="center"/>
    </xf>
    <xf numFmtId="4" fontId="70" fillId="0" borderId="22" xfId="0" applyNumberFormat="1" applyFont="1" applyBorder="1"/>
    <xf numFmtId="4" fontId="208" fillId="75" borderId="16" xfId="0" applyNumberFormat="1" applyFont="1" applyFill="1" applyBorder="1" applyAlignment="1">
      <alignment vertical="center"/>
    </xf>
    <xf numFmtId="4" fontId="208" fillId="75" borderId="21" xfId="0" applyNumberFormat="1" applyFont="1" applyFill="1" applyBorder="1" applyAlignment="1">
      <alignment vertical="center"/>
    </xf>
    <xf numFmtId="4" fontId="208" fillId="75" borderId="87" xfId="0" applyNumberFormat="1" applyFont="1" applyFill="1" applyBorder="1" applyAlignment="1">
      <alignment vertical="center"/>
    </xf>
    <xf numFmtId="4" fontId="208" fillId="75" borderId="17" xfId="0" applyNumberFormat="1" applyFont="1" applyFill="1" applyBorder="1" applyAlignment="1">
      <alignment vertical="center"/>
    </xf>
    <xf numFmtId="4" fontId="208" fillId="75" borderId="152" xfId="0" applyNumberFormat="1" applyFont="1" applyFill="1" applyBorder="1" applyAlignment="1">
      <alignment vertical="center"/>
    </xf>
    <xf numFmtId="4" fontId="208" fillId="75" borderId="86" xfId="0" applyNumberFormat="1" applyFont="1" applyFill="1" applyBorder="1" applyAlignment="1">
      <alignment vertical="center"/>
    </xf>
    <xf numFmtId="4" fontId="208" fillId="75" borderId="15" xfId="0" applyNumberFormat="1" applyFont="1" applyFill="1" applyBorder="1" applyAlignment="1">
      <alignment vertical="center"/>
    </xf>
    <xf numFmtId="4" fontId="208" fillId="75" borderId="192" xfId="0" applyNumberFormat="1" applyFont="1" applyFill="1" applyBorder="1" applyAlignment="1">
      <alignment vertical="center"/>
    </xf>
    <xf numFmtId="4" fontId="208" fillId="75" borderId="144" xfId="0" applyNumberFormat="1" applyFont="1" applyFill="1" applyBorder="1" applyAlignment="1">
      <alignment vertical="center"/>
    </xf>
    <xf numFmtId="0" fontId="208" fillId="0" borderId="23" xfId="0" applyFont="1" applyBorder="1"/>
    <xf numFmtId="0" fontId="208" fillId="0" borderId="24" xfId="0" applyFont="1" applyBorder="1"/>
    <xf numFmtId="0" fontId="208" fillId="0" borderId="0" xfId="0" applyFont="1"/>
    <xf numFmtId="0" fontId="210" fillId="0" borderId="181" xfId="2" applyFont="1" applyFill="1" applyBorder="1" applyAlignment="1">
      <alignment horizontal="left" vertical="center" wrapText="1"/>
    </xf>
    <xf numFmtId="0" fontId="211" fillId="0" borderId="48" xfId="2" applyFont="1" applyFill="1" applyBorder="1" applyAlignment="1">
      <alignment horizontal="left" vertical="center" wrapText="1"/>
    </xf>
    <xf numFmtId="0" fontId="70" fillId="0" borderId="13" xfId="2" applyFont="1" applyFill="1" applyBorder="1" applyAlignment="1">
      <alignment horizontal="left" vertical="center" wrapText="1"/>
    </xf>
    <xf numFmtId="0" fontId="211" fillId="0" borderId="13" xfId="2" applyFont="1" applyFill="1" applyBorder="1" applyAlignment="1">
      <alignment horizontal="center" vertical="center" wrapText="1"/>
    </xf>
    <xf numFmtId="0" fontId="211" fillId="0" borderId="107" xfId="2" applyFont="1" applyFill="1" applyBorder="1" applyAlignment="1">
      <alignment horizontal="center" vertical="center" wrapText="1"/>
    </xf>
    <xf numFmtId="0" fontId="211" fillId="0" borderId="153" xfId="2" applyFont="1" applyFill="1" applyBorder="1" applyAlignment="1">
      <alignment horizontal="center" vertical="center" wrapText="1"/>
    </xf>
    <xf numFmtId="0" fontId="211" fillId="0" borderId="181" xfId="2" applyFont="1" applyFill="1" applyBorder="1" applyAlignment="1">
      <alignment vertical="center"/>
    </xf>
    <xf numFmtId="10" fontId="70" fillId="0" borderId="48" xfId="6" applyNumberFormat="1" applyFont="1" applyFill="1" applyBorder="1" applyAlignment="1">
      <alignment vertical="center"/>
    </xf>
    <xf numFmtId="10" fontId="70" fillId="0" borderId="13" xfId="6" applyNumberFormat="1" applyFont="1" applyFill="1" applyBorder="1" applyAlignment="1">
      <alignment vertical="center"/>
    </xf>
    <xf numFmtId="10" fontId="70" fillId="0" borderId="107" xfId="6" applyNumberFormat="1" applyFont="1" applyFill="1" applyBorder="1" applyAlignment="1">
      <alignment vertical="center"/>
    </xf>
    <xf numFmtId="10" fontId="70" fillId="0" borderId="14" xfId="6" applyNumberFormat="1" applyFont="1" applyFill="1" applyBorder="1" applyAlignment="1">
      <alignment vertical="center"/>
    </xf>
    <xf numFmtId="10" fontId="70" fillId="0" borderId="13" xfId="6" applyNumberFormat="1" applyFont="1" applyBorder="1" applyAlignment="1">
      <alignment horizontal="center" vertical="center"/>
    </xf>
    <xf numFmtId="10" fontId="53" fillId="0" borderId="13" xfId="6" applyNumberFormat="1" applyFont="1" applyBorder="1" applyAlignment="1">
      <alignment vertical="center"/>
    </xf>
    <xf numFmtId="10" fontId="53" fillId="0" borderId="107" xfId="6" applyNumberFormat="1" applyFont="1" applyBorder="1" applyAlignment="1">
      <alignment vertical="center"/>
    </xf>
    <xf numFmtId="10" fontId="53" fillId="0" borderId="153" xfId="6" applyNumberFormat="1" applyFont="1" applyBorder="1" applyAlignment="1">
      <alignment vertical="center"/>
    </xf>
    <xf numFmtId="10" fontId="53" fillId="0" borderId="39" xfId="6" applyNumberFormat="1" applyFont="1" applyBorder="1" applyAlignment="1">
      <alignment vertical="center"/>
    </xf>
    <xf numFmtId="10" fontId="53" fillId="0" borderId="25" xfId="6" applyNumberFormat="1" applyFont="1" applyBorder="1" applyAlignment="1">
      <alignment vertical="center"/>
    </xf>
    <xf numFmtId="10" fontId="53" fillId="0" borderId="14" xfId="6" applyNumberFormat="1" applyFont="1" applyBorder="1" applyAlignment="1">
      <alignment vertical="center"/>
    </xf>
    <xf numFmtId="10" fontId="53" fillId="0" borderId="12" xfId="6" applyNumberFormat="1" applyFont="1" applyBorder="1" applyAlignment="1">
      <alignment vertical="center"/>
    </xf>
    <xf numFmtId="10" fontId="53" fillId="0" borderId="48" xfId="6" applyNumberFormat="1" applyFont="1" applyBorder="1" applyAlignment="1">
      <alignment vertical="center"/>
    </xf>
    <xf numFmtId="0" fontId="53" fillId="0" borderId="139" xfId="2" applyFont="1" applyFill="1" applyBorder="1" applyAlignment="1">
      <alignment horizontal="center" vertical="center" wrapText="1"/>
    </xf>
    <xf numFmtId="0" fontId="53" fillId="0" borderId="148" xfId="2" applyFont="1" applyFill="1" applyBorder="1" applyAlignment="1">
      <alignment horizontal="left" vertical="center" wrapText="1"/>
    </xf>
    <xf numFmtId="2" fontId="53" fillId="0" borderId="19" xfId="0" applyNumberFormat="1" applyFont="1" applyBorder="1"/>
    <xf numFmtId="2" fontId="53" fillId="0" borderId="49" xfId="0" applyNumberFormat="1" applyFont="1" applyBorder="1"/>
    <xf numFmtId="2" fontId="53" fillId="0" borderId="154" xfId="0" applyNumberFormat="1" applyFont="1" applyBorder="1"/>
    <xf numFmtId="2" fontId="53" fillId="0" borderId="20" xfId="0" applyNumberFormat="1" applyFont="1" applyBorder="1"/>
    <xf numFmtId="4" fontId="53" fillId="0" borderId="109" xfId="1" applyNumberFormat="1" applyFont="1" applyBorder="1" applyAlignment="1">
      <alignment horizontal="right" vertical="center" wrapText="1"/>
    </xf>
    <xf numFmtId="4" fontId="53" fillId="0" borderId="111" xfId="1" applyNumberFormat="1" applyFont="1" applyBorder="1" applyAlignment="1">
      <alignment horizontal="right" vertical="center" wrapText="1"/>
    </xf>
    <xf numFmtId="4" fontId="53" fillId="0" borderId="132" xfId="1" applyNumberFormat="1" applyFont="1" applyBorder="1" applyAlignment="1">
      <alignment horizontal="right" vertical="center" wrapText="1"/>
    </xf>
    <xf numFmtId="4" fontId="53" fillId="0" borderId="49" xfId="1" applyNumberFormat="1" applyFont="1" applyBorder="1" applyAlignment="1">
      <alignment horizontal="right" vertical="center" wrapText="1"/>
    </xf>
    <xf numFmtId="4" fontId="53" fillId="0" borderId="110" xfId="1" applyNumberFormat="1" applyFont="1" applyBorder="1" applyAlignment="1">
      <alignment horizontal="right" vertical="center" wrapText="1"/>
    </xf>
    <xf numFmtId="4" fontId="53" fillId="5" borderId="109" xfId="1" applyNumberFormat="1" applyFont="1" applyFill="1" applyBorder="1" applyAlignment="1">
      <alignment horizontal="right" vertical="center" wrapText="1"/>
    </xf>
    <xf numFmtId="4" fontId="53" fillId="5" borderId="111" xfId="1" applyNumberFormat="1" applyFont="1" applyFill="1" applyBorder="1" applyAlignment="1">
      <alignment horizontal="right" vertical="center" wrapText="1"/>
    </xf>
    <xf numFmtId="4" fontId="53" fillId="5" borderId="146" xfId="1" applyNumberFormat="1" applyFont="1" applyFill="1" applyBorder="1" applyAlignment="1">
      <alignment horizontal="right" vertical="center" wrapText="1"/>
    </xf>
    <xf numFmtId="43" fontId="53" fillId="5" borderId="20" xfId="1" applyFont="1" applyFill="1" applyBorder="1" applyAlignment="1">
      <alignment horizontal="right" vertical="center" wrapText="1"/>
    </xf>
    <xf numFmtId="43" fontId="53" fillId="5" borderId="49" xfId="1" applyFont="1" applyFill="1" applyBorder="1" applyAlignment="1">
      <alignment horizontal="right" vertical="center" wrapText="1"/>
    </xf>
    <xf numFmtId="43" fontId="53" fillId="5" borderId="18" xfId="1" applyFont="1" applyFill="1" applyBorder="1" applyAlignment="1">
      <alignment horizontal="right" vertical="center" wrapText="1"/>
    </xf>
    <xf numFmtId="43" fontId="53" fillId="5" borderId="19" xfId="1" applyFont="1" applyFill="1" applyBorder="1" applyAlignment="1">
      <alignment horizontal="right" vertical="center" wrapText="1"/>
    </xf>
    <xf numFmtId="0" fontId="70" fillId="5" borderId="23" xfId="0" applyFont="1" applyFill="1" applyBorder="1"/>
    <xf numFmtId="0" fontId="53" fillId="0" borderId="0" xfId="0" applyFont="1"/>
    <xf numFmtId="0" fontId="53" fillId="0" borderId="152" xfId="2" applyFont="1" applyFill="1" applyBorder="1" applyAlignment="1">
      <alignment horizontal="center" vertical="center" wrapText="1"/>
    </xf>
    <xf numFmtId="0" fontId="53" fillId="0" borderId="192" xfId="2" applyFont="1" applyFill="1" applyBorder="1" applyAlignment="1">
      <alignment horizontal="left" vertical="center" wrapText="1"/>
    </xf>
    <xf numFmtId="2" fontId="53" fillId="0" borderId="16" xfId="0" applyNumberFormat="1" applyFont="1" applyBorder="1"/>
    <xf numFmtId="2" fontId="53" fillId="0" borderId="21" xfId="0" applyNumberFormat="1" applyFont="1" applyBorder="1"/>
    <xf numFmtId="2" fontId="53" fillId="0" borderId="87" xfId="0" applyNumberFormat="1" applyFont="1" applyBorder="1"/>
    <xf numFmtId="2" fontId="53" fillId="0" borderId="17" xfId="0" applyNumberFormat="1" applyFont="1" applyBorder="1"/>
    <xf numFmtId="4" fontId="53" fillId="0" borderId="21" xfId="0" applyNumberFormat="1" applyFont="1" applyBorder="1"/>
    <xf numFmtId="4" fontId="53" fillId="0" borderId="16" xfId="0" applyNumberFormat="1" applyFont="1" applyBorder="1"/>
    <xf numFmtId="4" fontId="53" fillId="5" borderId="112" xfId="1" applyNumberFormat="1" applyFont="1" applyFill="1" applyBorder="1" applyAlignment="1">
      <alignment horizontal="right" vertical="center" wrapText="1"/>
    </xf>
    <xf numFmtId="4" fontId="53" fillId="5" borderId="145" xfId="1" applyNumberFormat="1" applyFont="1" applyFill="1" applyBorder="1" applyAlignment="1">
      <alignment horizontal="right" vertical="center" wrapText="1"/>
    </xf>
    <xf numFmtId="4" fontId="53" fillId="5" borderId="21" xfId="1" applyNumberFormat="1" applyFont="1" applyFill="1" applyBorder="1" applyAlignment="1">
      <alignment horizontal="right" vertical="center" wrapText="1"/>
    </xf>
    <xf numFmtId="4" fontId="53" fillId="5" borderId="95" xfId="1" applyNumberFormat="1" applyFont="1" applyFill="1" applyBorder="1" applyAlignment="1">
      <alignment horizontal="right" vertical="center" wrapText="1"/>
    </xf>
    <xf numFmtId="4" fontId="53" fillId="5" borderId="94" xfId="1" applyNumberFormat="1" applyFont="1" applyFill="1" applyBorder="1" applyAlignment="1">
      <alignment horizontal="right" vertical="center" wrapText="1"/>
    </xf>
    <xf numFmtId="4" fontId="53" fillId="5" borderId="39" xfId="1" applyNumberFormat="1" applyFont="1" applyFill="1" applyBorder="1" applyAlignment="1">
      <alignment horizontal="right" vertical="center" wrapText="1"/>
    </xf>
    <xf numFmtId="4" fontId="53" fillId="5" borderId="180" xfId="1" applyNumberFormat="1" applyFont="1" applyFill="1" applyBorder="1" applyAlignment="1">
      <alignment horizontal="right" vertical="center" wrapText="1"/>
    </xf>
    <xf numFmtId="4" fontId="53" fillId="5" borderId="116" xfId="1" applyNumberFormat="1" applyFont="1" applyFill="1" applyBorder="1" applyAlignment="1">
      <alignment horizontal="right" vertical="center" wrapText="1"/>
    </xf>
    <xf numFmtId="43" fontId="53" fillId="5" borderId="17" xfId="1" applyFont="1" applyFill="1" applyBorder="1" applyAlignment="1">
      <alignment horizontal="right" vertical="center" wrapText="1"/>
    </xf>
    <xf numFmtId="43" fontId="53" fillId="5" borderId="21" xfId="1" applyFont="1" applyFill="1" applyBorder="1" applyAlignment="1">
      <alignment horizontal="right" vertical="center" wrapText="1"/>
    </xf>
    <xf numFmtId="43" fontId="53" fillId="5" borderId="15" xfId="1" applyFont="1" applyFill="1" applyBorder="1" applyAlignment="1">
      <alignment horizontal="right" vertical="center" wrapText="1"/>
    </xf>
    <xf numFmtId="43" fontId="53" fillId="5" borderId="16" xfId="1" applyFont="1" applyFill="1" applyBorder="1" applyAlignment="1">
      <alignment horizontal="right" vertical="center" wrapText="1"/>
    </xf>
    <xf numFmtId="4" fontId="53" fillId="0" borderId="19" xfId="0" applyNumberFormat="1" applyFont="1" applyFill="1" applyBorder="1" applyAlignment="1">
      <alignment vertical="center"/>
    </xf>
    <xf numFmtId="4" fontId="53" fillId="0" borderId="49" xfId="0" applyNumberFormat="1" applyFont="1" applyFill="1" applyBorder="1" applyAlignment="1">
      <alignment vertical="center"/>
    </xf>
    <xf numFmtId="4" fontId="53" fillId="0" borderId="154" xfId="0" applyNumberFormat="1" applyFont="1" applyFill="1" applyBorder="1" applyAlignment="1">
      <alignment vertical="center"/>
    </xf>
    <xf numFmtId="4" fontId="53" fillId="0" borderId="20" xfId="0" applyNumberFormat="1" applyFont="1" applyFill="1" applyBorder="1" applyAlignment="1">
      <alignment vertical="center"/>
    </xf>
    <xf numFmtId="3" fontId="53" fillId="0" borderId="49" xfId="0" applyNumberFormat="1" applyFont="1" applyFill="1" applyBorder="1" applyAlignment="1">
      <alignment vertical="center"/>
    </xf>
    <xf numFmtId="4" fontId="53" fillId="0" borderId="150" xfId="1" applyNumberFormat="1" applyFont="1" applyBorder="1" applyAlignment="1">
      <alignment horizontal="right" vertical="center" wrapText="1"/>
    </xf>
    <xf numFmtId="4" fontId="53" fillId="0" borderId="151" xfId="1" applyNumberFormat="1" applyFont="1" applyBorder="1" applyAlignment="1">
      <alignment horizontal="right" vertical="center" wrapText="1"/>
    </xf>
    <xf numFmtId="4" fontId="53" fillId="0" borderId="120" xfId="1" applyNumberFormat="1" applyFont="1" applyBorder="1" applyAlignment="1">
      <alignment horizontal="right" vertical="center" wrapText="1"/>
    </xf>
    <xf numFmtId="4" fontId="53" fillId="0" borderId="121" xfId="1" applyNumberFormat="1" applyFont="1" applyBorder="1" applyAlignment="1">
      <alignment horizontal="right" vertical="center" wrapText="1"/>
    </xf>
    <xf numFmtId="4" fontId="53" fillId="5" borderId="150" xfId="1" applyNumberFormat="1" applyFont="1" applyFill="1" applyBorder="1" applyAlignment="1">
      <alignment horizontal="right" vertical="center" wrapText="1"/>
    </xf>
    <xf numFmtId="4" fontId="53" fillId="5" borderId="151" xfId="1" applyNumberFormat="1" applyFont="1" applyFill="1" applyBorder="1" applyAlignment="1">
      <alignment horizontal="right" vertical="center" wrapText="1"/>
    </xf>
    <xf numFmtId="4" fontId="53" fillId="0" borderId="16" xfId="0" applyNumberFormat="1" applyFont="1" applyFill="1" applyBorder="1" applyAlignment="1">
      <alignment vertical="center"/>
    </xf>
    <xf numFmtId="4" fontId="53" fillId="0" borderId="21" xfId="0" applyNumberFormat="1" applyFont="1" applyFill="1" applyBorder="1" applyAlignment="1">
      <alignment vertical="center"/>
    </xf>
    <xf numFmtId="4" fontId="53" fillId="0" borderId="87" xfId="0" applyNumberFormat="1" applyFont="1" applyFill="1" applyBorder="1" applyAlignment="1">
      <alignment vertical="center"/>
    </xf>
    <xf numFmtId="4" fontId="53" fillId="0" borderId="17" xfId="0" applyNumberFormat="1" applyFont="1" applyFill="1" applyBorder="1" applyAlignment="1">
      <alignment vertical="center"/>
    </xf>
    <xf numFmtId="181" fontId="53" fillId="0" borderId="21" xfId="0" applyNumberFormat="1" applyFont="1" applyFill="1" applyBorder="1" applyAlignment="1">
      <alignment vertical="center"/>
    </xf>
    <xf numFmtId="4" fontId="53" fillId="0" borderId="95" xfId="1" applyNumberFormat="1" applyFont="1" applyBorder="1" applyAlignment="1">
      <alignment horizontal="right" vertical="center" wrapText="1"/>
    </xf>
    <xf numFmtId="0" fontId="53" fillId="0" borderId="0" xfId="0" applyFont="1" applyBorder="1"/>
    <xf numFmtId="0" fontId="210" fillId="5" borderId="181" xfId="2" applyFont="1" applyFill="1" applyBorder="1" applyAlignment="1">
      <alignment horizontal="left" vertical="center" wrapText="1"/>
    </xf>
    <xf numFmtId="0" fontId="211" fillId="0" borderId="13" xfId="2" applyFont="1" applyFill="1" applyBorder="1" applyAlignment="1">
      <alignment horizontal="left" vertical="center" wrapText="1"/>
    </xf>
    <xf numFmtId="0" fontId="211" fillId="0" borderId="193" xfId="2" applyFont="1" applyFill="1" applyBorder="1" applyAlignment="1">
      <alignment horizontal="left" vertical="center" wrapText="1"/>
    </xf>
    <xf numFmtId="3" fontId="70" fillId="0" borderId="102" xfId="0" applyNumberFormat="1" applyFont="1" applyFill="1" applyBorder="1" applyAlignment="1">
      <alignment vertical="center"/>
    </xf>
    <xf numFmtId="3" fontId="70" fillId="0" borderId="39" xfId="0" applyNumberFormat="1" applyFont="1" applyFill="1" applyBorder="1" applyAlignment="1">
      <alignment vertical="center"/>
    </xf>
    <xf numFmtId="3" fontId="70" fillId="0" borderId="180" xfId="0" applyNumberFormat="1" applyFont="1" applyFill="1" applyBorder="1" applyAlignment="1">
      <alignment vertical="center"/>
    </xf>
    <xf numFmtId="3" fontId="70" fillId="0" borderId="116" xfId="0" applyNumberFormat="1" applyFont="1" applyFill="1" applyBorder="1" applyAlignment="1">
      <alignment vertical="center"/>
    </xf>
    <xf numFmtId="0" fontId="70" fillId="0" borderId="39" xfId="0" applyFont="1" applyBorder="1" applyAlignment="1">
      <alignment horizontal="center" vertical="center"/>
    </xf>
    <xf numFmtId="3" fontId="70" fillId="0" borderId="39" xfId="0" applyNumberFormat="1" applyFont="1" applyBorder="1" applyAlignment="1">
      <alignment horizontal="center" vertical="center"/>
    </xf>
    <xf numFmtId="3" fontId="70" fillId="0" borderId="39" xfId="0" applyNumberFormat="1" applyFont="1" applyFill="1" applyBorder="1" applyAlignment="1">
      <alignment horizontal="center" vertical="center"/>
    </xf>
    <xf numFmtId="3" fontId="70" fillId="0" borderId="102" xfId="0" applyNumberFormat="1" applyFont="1" applyBorder="1" applyAlignment="1">
      <alignment horizontal="center" vertical="center"/>
    </xf>
    <xf numFmtId="3" fontId="70" fillId="0" borderId="38" xfId="0" applyNumberFormat="1" applyFont="1" applyBorder="1" applyAlignment="1">
      <alignment horizontal="center" vertical="center"/>
    </xf>
    <xf numFmtId="3" fontId="53" fillId="0" borderId="124" xfId="0" applyNumberFormat="1" applyFont="1" applyBorder="1" applyAlignment="1">
      <alignment horizontal="center" vertical="center"/>
    </xf>
    <xf numFmtId="3" fontId="53" fillId="0" borderId="39" xfId="0" applyNumberFormat="1" applyFont="1" applyBorder="1" applyAlignment="1">
      <alignment horizontal="center" vertical="center"/>
    </xf>
    <xf numFmtId="3" fontId="53" fillId="5" borderId="39" xfId="0" applyNumberFormat="1" applyFont="1" applyFill="1" applyBorder="1" applyAlignment="1">
      <alignment horizontal="center" vertical="center"/>
    </xf>
    <xf numFmtId="3" fontId="53" fillId="0" borderId="38" xfId="0" applyNumberFormat="1" applyFont="1" applyBorder="1" applyAlignment="1">
      <alignment horizontal="center" vertical="center"/>
    </xf>
    <xf numFmtId="3" fontId="53" fillId="0" borderId="180" xfId="0" applyNumberFormat="1" applyFont="1" applyBorder="1" applyAlignment="1">
      <alignment horizontal="center" vertical="center"/>
    </xf>
    <xf numFmtId="3" fontId="53" fillId="0" borderId="14" xfId="0" applyNumberFormat="1" applyFont="1" applyBorder="1" applyAlignment="1">
      <alignment horizontal="center" vertical="center"/>
    </xf>
    <xf numFmtId="3" fontId="53" fillId="0" borderId="107" xfId="0" applyNumberFormat="1" applyFont="1" applyBorder="1" applyAlignment="1">
      <alignment horizontal="center" vertical="center"/>
    </xf>
    <xf numFmtId="3" fontId="53" fillId="0" borderId="13" xfId="0" applyNumberFormat="1" applyFont="1" applyBorder="1" applyAlignment="1">
      <alignment horizontal="center" vertical="center"/>
    </xf>
    <xf numFmtId="3" fontId="53" fillId="0" borderId="12" xfId="0" applyNumberFormat="1" applyFont="1" applyBorder="1" applyAlignment="1">
      <alignment horizontal="center" vertical="center"/>
    </xf>
    <xf numFmtId="3" fontId="53" fillId="0" borderId="48" xfId="0" applyNumberFormat="1" applyFont="1" applyBorder="1" applyAlignment="1">
      <alignment horizontal="center" vertical="center"/>
    </xf>
    <xf numFmtId="2" fontId="211" fillId="0" borderId="188" xfId="2" applyNumberFormat="1" applyFont="1" applyFill="1" applyBorder="1" applyAlignment="1">
      <alignment vertical="center"/>
    </xf>
    <xf numFmtId="3" fontId="70" fillId="0" borderId="34" xfId="0" applyNumberFormat="1" applyFont="1" applyFill="1" applyBorder="1" applyAlignment="1">
      <alignment vertical="center"/>
    </xf>
    <xf numFmtId="3" fontId="70" fillId="0" borderId="5" xfId="0" applyNumberFormat="1" applyFont="1" applyFill="1" applyBorder="1" applyAlignment="1">
      <alignment vertical="center"/>
    </xf>
    <xf numFmtId="3" fontId="70" fillId="0" borderId="28" xfId="0" applyNumberFormat="1" applyFont="1" applyFill="1" applyBorder="1" applyAlignment="1">
      <alignment vertical="center"/>
    </xf>
    <xf numFmtId="3" fontId="70" fillId="0" borderId="24" xfId="0" applyNumberFormat="1" applyFont="1" applyFill="1" applyBorder="1" applyAlignment="1">
      <alignment vertical="center"/>
    </xf>
    <xf numFmtId="3" fontId="70" fillId="0" borderId="34" xfId="0" applyNumberFormat="1" applyFont="1" applyBorder="1"/>
    <xf numFmtId="3" fontId="70" fillId="0" borderId="29" xfId="0" applyNumberFormat="1" applyFont="1" applyBorder="1"/>
    <xf numFmtId="3" fontId="70" fillId="0" borderId="183" xfId="0" applyNumberFormat="1" applyFont="1" applyBorder="1"/>
    <xf numFmtId="3" fontId="70" fillId="0" borderId="24" xfId="0" applyNumberFormat="1" applyFont="1" applyBorder="1"/>
    <xf numFmtId="3" fontId="70" fillId="0" borderId="167" xfId="0" applyNumberFormat="1" applyFont="1" applyBorder="1"/>
    <xf numFmtId="2" fontId="211" fillId="0" borderId="135" xfId="2" applyNumberFormat="1" applyFont="1" applyFill="1" applyBorder="1" applyAlignment="1">
      <alignment vertical="center"/>
    </xf>
    <xf numFmtId="3" fontId="70" fillId="0" borderId="35" xfId="0" applyNumberFormat="1" applyFont="1" applyFill="1" applyBorder="1" applyAlignment="1">
      <alignment vertical="center"/>
    </xf>
    <xf numFmtId="3" fontId="70" fillId="0" borderId="23" xfId="0" applyNumberFormat="1" applyFont="1" applyFill="1" applyBorder="1" applyAlignment="1">
      <alignment vertical="center"/>
    </xf>
    <xf numFmtId="3" fontId="70" fillId="0" borderId="23" xfId="0" applyNumberFormat="1" applyFont="1" applyBorder="1"/>
    <xf numFmtId="3" fontId="70" fillId="0" borderId="22" xfId="0" applyNumberFormat="1" applyFont="1" applyBorder="1"/>
    <xf numFmtId="3" fontId="70" fillId="5" borderId="37" xfId="0" applyNumberFormat="1" applyFont="1" applyFill="1" applyBorder="1"/>
    <xf numFmtId="3" fontId="70" fillId="5" borderId="35" xfId="0" applyNumberFormat="1" applyFont="1" applyFill="1" applyBorder="1"/>
    <xf numFmtId="3" fontId="70" fillId="5" borderId="23" xfId="0" applyNumberFormat="1" applyFont="1" applyFill="1" applyBorder="1"/>
    <xf numFmtId="3" fontId="70" fillId="5" borderId="22" xfId="0" applyNumberFormat="1" applyFont="1" applyFill="1" applyBorder="1"/>
    <xf numFmtId="3" fontId="70" fillId="5" borderId="31" xfId="0" applyNumberFormat="1" applyFont="1" applyFill="1" applyBorder="1"/>
    <xf numFmtId="2" fontId="53" fillId="0" borderId="135" xfId="2" applyNumberFormat="1" applyFont="1" applyFill="1" applyBorder="1" applyAlignment="1">
      <alignment vertical="center"/>
    </xf>
    <xf numFmtId="2" fontId="207" fillId="75" borderId="135" xfId="2" applyNumberFormat="1" applyFont="1" applyFill="1" applyBorder="1" applyAlignment="1">
      <alignment vertical="center"/>
    </xf>
    <xf numFmtId="3" fontId="208" fillId="75" borderId="31" xfId="0" applyNumberFormat="1" applyFont="1" applyFill="1" applyBorder="1" applyAlignment="1">
      <alignment vertical="center"/>
    </xf>
    <xf numFmtId="3" fontId="208" fillId="75" borderId="6" xfId="0" applyNumberFormat="1" applyFont="1" applyFill="1" applyBorder="1" applyAlignment="1">
      <alignment vertical="center"/>
    </xf>
    <xf numFmtId="3" fontId="208" fillId="75" borderId="35" xfId="0" applyNumberFormat="1" applyFont="1" applyFill="1" applyBorder="1" applyAlignment="1">
      <alignment vertical="center"/>
    </xf>
    <xf numFmtId="3" fontId="208" fillId="75" borderId="23" xfId="0" applyNumberFormat="1" applyFont="1" applyFill="1" applyBorder="1" applyAlignment="1">
      <alignment vertical="center"/>
    </xf>
    <xf numFmtId="3" fontId="208" fillId="75" borderId="130" xfId="0" applyNumberFormat="1" applyFont="1" applyFill="1" applyBorder="1" applyAlignment="1">
      <alignment vertical="center"/>
    </xf>
    <xf numFmtId="3" fontId="208" fillId="75" borderId="37" xfId="0" applyNumberFormat="1" applyFont="1" applyFill="1" applyBorder="1" applyAlignment="1">
      <alignment vertical="center"/>
    </xf>
    <xf numFmtId="3" fontId="208" fillId="75" borderId="22" xfId="0" applyNumberFormat="1" applyFont="1" applyFill="1" applyBorder="1" applyAlignment="1">
      <alignment vertical="center"/>
    </xf>
    <xf numFmtId="2" fontId="211" fillId="0" borderId="179" xfId="2" applyNumberFormat="1" applyFont="1" applyFill="1" applyBorder="1" applyAlignment="1">
      <alignment vertical="center"/>
    </xf>
    <xf numFmtId="0" fontId="70" fillId="0" borderId="32" xfId="0" applyFont="1" applyFill="1" applyBorder="1" applyAlignment="1">
      <alignment vertical="center"/>
    </xf>
    <xf numFmtId="0" fontId="70" fillId="0" borderId="7" xfId="0" applyFont="1" applyFill="1" applyBorder="1" applyAlignment="1">
      <alignment vertical="center"/>
    </xf>
    <xf numFmtId="0" fontId="70" fillId="0" borderId="27" xfId="0" applyFont="1" applyFill="1" applyBorder="1" applyAlignment="1">
      <alignment vertical="center"/>
    </xf>
    <xf numFmtId="3" fontId="53" fillId="0" borderId="50" xfId="2" applyNumberFormat="1" applyFont="1" applyBorder="1" applyAlignment="1">
      <alignment vertical="center"/>
    </xf>
    <xf numFmtId="3" fontId="53" fillId="0" borderId="7" xfId="2" applyNumberFormat="1" applyFont="1" applyBorder="1" applyAlignment="1">
      <alignment vertical="center"/>
    </xf>
    <xf numFmtId="3" fontId="70" fillId="0" borderId="21" xfId="0" applyNumberFormat="1" applyFont="1" applyBorder="1"/>
    <xf numFmtId="3" fontId="70" fillId="0" borderId="50" xfId="0" applyNumberFormat="1" applyFont="1" applyBorder="1"/>
    <xf numFmtId="3" fontId="70" fillId="0" borderId="96" xfId="0" applyNumberFormat="1" applyFont="1" applyBorder="1"/>
    <xf numFmtId="2" fontId="211" fillId="0" borderId="181" xfId="2" applyNumberFormat="1" applyFont="1" applyFill="1" applyBorder="1" applyAlignment="1">
      <alignment horizontal="left" vertical="center"/>
    </xf>
    <xf numFmtId="0" fontId="212" fillId="0" borderId="48" xfId="0" applyFont="1" applyFill="1" applyBorder="1" applyAlignment="1">
      <alignment vertical="center"/>
    </xf>
    <xf numFmtId="0" fontId="212" fillId="0" borderId="13" xfId="0" applyFont="1" applyFill="1" applyBorder="1" applyAlignment="1">
      <alignment vertical="center"/>
    </xf>
    <xf numFmtId="0" fontId="212" fillId="0" borderId="107" xfId="0" applyFont="1" applyFill="1" applyBorder="1" applyAlignment="1">
      <alignment vertical="center"/>
    </xf>
    <xf numFmtId="0" fontId="70" fillId="0" borderId="14" xfId="0" applyFont="1" applyFill="1" applyBorder="1" applyAlignment="1">
      <alignment horizontal="center" vertical="center"/>
    </xf>
    <xf numFmtId="0" fontId="70" fillId="0" borderId="13" xfId="0" applyFont="1" applyFill="1" applyBorder="1" applyAlignment="1">
      <alignment horizontal="center" vertical="center"/>
    </xf>
    <xf numFmtId="0" fontId="70" fillId="0" borderId="13" xfId="0" applyFont="1" applyBorder="1" applyAlignment="1">
      <alignment horizontal="center" vertical="center"/>
    </xf>
    <xf numFmtId="3" fontId="70" fillId="0" borderId="13" xfId="0" applyNumberFormat="1" applyFont="1" applyBorder="1" applyAlignment="1">
      <alignment horizontal="center" vertical="center"/>
    </xf>
    <xf numFmtId="3" fontId="70" fillId="0" borderId="107" xfId="0" applyNumberFormat="1" applyFont="1" applyBorder="1" applyAlignment="1">
      <alignment horizontal="center" vertical="center"/>
    </xf>
    <xf numFmtId="3" fontId="70" fillId="0" borderId="153" xfId="0" applyNumberFormat="1" applyFont="1" applyBorder="1" applyAlignment="1">
      <alignment horizontal="center" vertical="center"/>
    </xf>
    <xf numFmtId="3" fontId="70" fillId="0" borderId="25" xfId="0" applyNumberFormat="1" applyFont="1" applyBorder="1" applyAlignment="1">
      <alignment horizontal="center" vertical="center"/>
    </xf>
    <xf numFmtId="3" fontId="70" fillId="0" borderId="14" xfId="0" applyNumberFormat="1" applyFont="1" applyBorder="1" applyAlignment="1">
      <alignment horizontal="center" vertical="center"/>
    </xf>
    <xf numFmtId="3" fontId="70" fillId="0" borderId="12" xfId="0" applyNumberFormat="1" applyFont="1" applyBorder="1" applyAlignment="1">
      <alignment horizontal="center" vertical="center"/>
    </xf>
    <xf numFmtId="3" fontId="70" fillId="0" borderId="48" xfId="0" applyNumberFormat="1" applyFont="1" applyBorder="1" applyAlignment="1">
      <alignment horizontal="center" vertical="center"/>
    </xf>
    <xf numFmtId="0" fontId="208" fillId="5" borderId="181" xfId="0" applyFont="1" applyFill="1" applyBorder="1" applyAlignment="1">
      <alignment horizontal="left" vertical="center"/>
    </xf>
    <xf numFmtId="0" fontId="70" fillId="5" borderId="48" xfId="0" applyFont="1" applyFill="1" applyBorder="1" applyAlignment="1">
      <alignment horizontal="left" vertical="center" wrapText="1"/>
    </xf>
    <xf numFmtId="0" fontId="70" fillId="5" borderId="13" xfId="0" applyFont="1" applyFill="1" applyBorder="1" applyAlignment="1">
      <alignment horizontal="left" vertical="center" wrapText="1"/>
    </xf>
    <xf numFmtId="0" fontId="70" fillId="5" borderId="13" xfId="0" applyFont="1" applyFill="1" applyBorder="1" applyAlignment="1">
      <alignment horizontal="center" vertical="center"/>
    </xf>
    <xf numFmtId="0" fontId="70" fillId="5" borderId="107" xfId="0" applyFont="1" applyFill="1" applyBorder="1" applyAlignment="1">
      <alignment horizontal="center" vertical="center"/>
    </xf>
    <xf numFmtId="0" fontId="70" fillId="5" borderId="153" xfId="0" applyFont="1" applyFill="1" applyBorder="1" applyAlignment="1">
      <alignment horizontal="center" vertical="center" wrapText="1"/>
    </xf>
    <xf numFmtId="0" fontId="70" fillId="5" borderId="181" xfId="0" applyFont="1" applyFill="1" applyBorder="1" applyAlignment="1">
      <alignment horizontal="left" vertical="center"/>
    </xf>
    <xf numFmtId="2" fontId="70" fillId="0" borderId="48" xfId="0" applyNumberFormat="1" applyFont="1" applyFill="1" applyBorder="1" applyAlignment="1">
      <alignment vertical="center"/>
    </xf>
    <xf numFmtId="2" fontId="70" fillId="0" borderId="13" xfId="0" applyNumberFormat="1" applyFont="1" applyFill="1" applyBorder="1" applyAlignment="1">
      <alignment vertical="center" wrapText="1"/>
    </xf>
    <xf numFmtId="2" fontId="70" fillId="0" borderId="107" xfId="0" applyNumberFormat="1" applyFont="1" applyFill="1" applyBorder="1" applyAlignment="1">
      <alignment vertical="center" wrapText="1"/>
    </xf>
    <xf numFmtId="2" fontId="70" fillId="0" borderId="14" xfId="0" applyNumberFormat="1" applyFont="1" applyFill="1" applyBorder="1" applyAlignment="1">
      <alignment vertical="center" wrapText="1"/>
    </xf>
    <xf numFmtId="2" fontId="70" fillId="0" borderId="48" xfId="0" applyNumberFormat="1" applyFont="1" applyFill="1" applyBorder="1" applyAlignment="1">
      <alignment vertical="center" wrapText="1"/>
    </xf>
    <xf numFmtId="2" fontId="70" fillId="0" borderId="25" xfId="0" applyNumberFormat="1" applyFont="1" applyFill="1" applyBorder="1" applyAlignment="1">
      <alignment vertical="center" wrapText="1"/>
    </xf>
    <xf numFmtId="2" fontId="70" fillId="0" borderId="153" xfId="0" applyNumberFormat="1" applyFont="1" applyFill="1" applyBorder="1" applyAlignment="1">
      <alignment vertical="center" wrapText="1"/>
    </xf>
    <xf numFmtId="2" fontId="70" fillId="0" borderId="12" xfId="0" applyNumberFormat="1" applyFont="1" applyFill="1" applyBorder="1" applyAlignment="1">
      <alignment vertical="center" wrapText="1"/>
    </xf>
    <xf numFmtId="0" fontId="70" fillId="0" borderId="17" xfId="0" applyFont="1" applyBorder="1"/>
    <xf numFmtId="0" fontId="70" fillId="0" borderId="0" xfId="0" applyFont="1" applyAlignment="1">
      <alignment horizontal="left"/>
    </xf>
    <xf numFmtId="10" fontId="70" fillId="0" borderId="0" xfId="6" applyNumberFormat="1" applyFont="1"/>
    <xf numFmtId="49" fontId="208" fillId="0" borderId="0" xfId="0" applyNumberFormat="1" applyFont="1" applyBorder="1"/>
    <xf numFmtId="0" fontId="208" fillId="0" borderId="0" xfId="0" applyFont="1" applyBorder="1" applyAlignment="1">
      <alignment horizontal="center"/>
    </xf>
    <xf numFmtId="49" fontId="208" fillId="0" borderId="0" xfId="0" applyNumberFormat="1" applyFont="1"/>
    <xf numFmtId="10" fontId="50" fillId="0" borderId="6" xfId="6" applyNumberFormat="1" applyFont="1" applyFill="1" applyBorder="1" applyAlignment="1">
      <alignment horizontal="center" vertical="center"/>
    </xf>
    <xf numFmtId="10" fontId="53" fillId="5" borderId="7" xfId="6" applyNumberFormat="1" applyFont="1" applyFill="1" applyBorder="1" applyAlignment="1">
      <alignment horizontal="center" vertical="center"/>
    </xf>
    <xf numFmtId="0" fontId="70" fillId="5" borderId="179" xfId="0" applyFont="1" applyFill="1" applyBorder="1" applyAlignment="1">
      <alignment vertical="center"/>
    </xf>
    <xf numFmtId="0" fontId="210" fillId="75" borderId="181" xfId="2" applyFont="1" applyFill="1" applyBorder="1" applyAlignment="1">
      <alignment vertical="center" wrapText="1"/>
    </xf>
    <xf numFmtId="188" fontId="53" fillId="5" borderId="49" xfId="0" applyNumberFormat="1" applyFont="1" applyFill="1" applyBorder="1" applyAlignment="1">
      <alignment horizontal="center" vertical="center"/>
    </xf>
    <xf numFmtId="188" fontId="53" fillId="5" borderId="6" xfId="0" applyNumberFormat="1" applyFont="1" applyFill="1" applyBorder="1" applyAlignment="1">
      <alignment horizontal="center" vertical="center"/>
    </xf>
    <xf numFmtId="0" fontId="70" fillId="0" borderId="0" xfId="0" applyFont="1" applyAlignment="1">
      <alignment horizontal="center"/>
    </xf>
    <xf numFmtId="43" fontId="70" fillId="0" borderId="221" xfId="1" applyNumberFormat="1" applyFont="1" applyBorder="1" applyAlignment="1">
      <alignment horizontal="center"/>
    </xf>
    <xf numFmtId="43" fontId="70" fillId="0" borderId="26" xfId="1" applyNumberFormat="1" applyFont="1" applyBorder="1" applyAlignment="1">
      <alignment horizontal="center"/>
    </xf>
    <xf numFmtId="43" fontId="70" fillId="0" borderId="222" xfId="1" applyNumberFormat="1" applyFont="1" applyBorder="1" applyAlignment="1">
      <alignment horizontal="center"/>
    </xf>
    <xf numFmtId="43" fontId="70" fillId="5" borderId="118" xfId="1" applyNumberFormat="1" applyFont="1" applyFill="1" applyBorder="1" applyAlignment="1">
      <alignment horizontal="center"/>
    </xf>
    <xf numFmtId="43" fontId="70" fillId="5" borderId="10" xfId="1" applyNumberFormat="1" applyFont="1" applyFill="1" applyBorder="1" applyAlignment="1">
      <alignment horizontal="center"/>
    </xf>
    <xf numFmtId="43" fontId="70" fillId="5" borderId="26" xfId="1" applyNumberFormat="1" applyFont="1" applyFill="1" applyBorder="1" applyAlignment="1">
      <alignment horizontal="center"/>
    </xf>
    <xf numFmtId="43" fontId="70" fillId="5" borderId="47" xfId="1" applyNumberFormat="1" applyFont="1" applyFill="1" applyBorder="1" applyAlignment="1">
      <alignment horizontal="center"/>
    </xf>
    <xf numFmtId="43" fontId="70" fillId="5" borderId="114" xfId="1" applyNumberFormat="1" applyFont="1" applyFill="1" applyBorder="1" applyAlignment="1">
      <alignment horizontal="center"/>
    </xf>
    <xf numFmtId="43" fontId="70" fillId="0" borderId="118" xfId="1" applyNumberFormat="1" applyFont="1" applyBorder="1" applyAlignment="1">
      <alignment horizontal="center"/>
    </xf>
    <xf numFmtId="43" fontId="70" fillId="0" borderId="10" xfId="1" applyNumberFormat="1" applyFont="1" applyBorder="1" applyAlignment="1">
      <alignment horizontal="center"/>
    </xf>
    <xf numFmtId="43" fontId="70" fillId="0" borderId="47" xfId="1" applyNumberFormat="1" applyFont="1" applyBorder="1" applyAlignment="1">
      <alignment horizontal="center"/>
    </xf>
    <xf numFmtId="43" fontId="70" fillId="0" borderId="114" xfId="1" applyNumberFormat="1" applyFont="1" applyBorder="1" applyAlignment="1">
      <alignment horizontal="center"/>
    </xf>
    <xf numFmtId="43" fontId="70" fillId="0" borderId="119" xfId="1" applyNumberFormat="1" applyFont="1" applyBorder="1" applyAlignment="1">
      <alignment horizontal="center"/>
    </xf>
    <xf numFmtId="43" fontId="70" fillId="0" borderId="36" xfId="1" applyNumberFormat="1" applyFont="1" applyBorder="1" applyAlignment="1">
      <alignment horizontal="center"/>
    </xf>
    <xf numFmtId="43" fontId="70" fillId="0" borderId="184" xfId="1" applyNumberFormat="1" applyFont="1" applyBorder="1" applyAlignment="1">
      <alignment horizontal="center"/>
    </xf>
    <xf numFmtId="3" fontId="208" fillId="75" borderId="14" xfId="0" applyNumberFormat="1" applyFont="1" applyFill="1" applyBorder="1" applyAlignment="1">
      <alignment horizontal="center" vertical="center"/>
    </xf>
    <xf numFmtId="3" fontId="208" fillId="75" borderId="13" xfId="0" applyNumberFormat="1" applyFont="1" applyFill="1" applyBorder="1" applyAlignment="1">
      <alignment horizontal="center" vertical="center"/>
    </xf>
    <xf numFmtId="3" fontId="208" fillId="75" borderId="12" xfId="0" applyNumberFormat="1" applyFont="1" applyFill="1" applyBorder="1" applyAlignment="1">
      <alignment horizontal="center" vertical="center"/>
    </xf>
    <xf numFmtId="167" fontId="70" fillId="0" borderId="109" xfId="1" applyNumberFormat="1" applyFont="1" applyBorder="1" applyAlignment="1">
      <alignment horizontal="center"/>
    </xf>
    <xf numFmtId="167" fontId="70" fillId="0" borderId="41" xfId="1" applyNumberFormat="1" applyFont="1" applyBorder="1" applyAlignment="1">
      <alignment horizontal="center"/>
    </xf>
    <xf numFmtId="167" fontId="70" fillId="0" borderId="211" xfId="1" applyNumberFormat="1" applyFont="1" applyBorder="1" applyAlignment="1">
      <alignment horizontal="center"/>
    </xf>
    <xf numFmtId="167" fontId="70" fillId="0" borderId="10" xfId="1" applyNumberFormat="1" applyFont="1" applyBorder="1" applyAlignment="1">
      <alignment horizontal="center"/>
    </xf>
    <xf numFmtId="167" fontId="70" fillId="0" borderId="242" xfId="1" applyNumberFormat="1" applyFont="1" applyBorder="1" applyAlignment="1">
      <alignment horizontal="center" vertical="center"/>
    </xf>
    <xf numFmtId="167" fontId="70" fillId="0" borderId="44" xfId="1" applyNumberFormat="1" applyFont="1" applyBorder="1" applyAlignment="1">
      <alignment horizontal="center" vertical="center"/>
    </xf>
    <xf numFmtId="3" fontId="208" fillId="75" borderId="107" xfId="0" applyNumberFormat="1" applyFont="1" applyFill="1" applyBorder="1" applyAlignment="1">
      <alignment horizontal="center" vertical="center"/>
    </xf>
    <xf numFmtId="43" fontId="70" fillId="0" borderId="150" xfId="1" applyNumberFormat="1" applyFont="1" applyBorder="1" applyAlignment="1">
      <alignment horizontal="center" vertical="center"/>
    </xf>
    <xf numFmtId="43" fontId="70" fillId="0" borderId="10" xfId="1" applyNumberFormat="1" applyFont="1" applyBorder="1" applyAlignment="1">
      <alignment horizontal="center" vertical="center"/>
    </xf>
    <xf numFmtId="43" fontId="70" fillId="0" borderId="47" xfId="1" applyNumberFormat="1" applyFont="1" applyBorder="1" applyAlignment="1">
      <alignment horizontal="center" vertical="center"/>
    </xf>
    <xf numFmtId="43" fontId="70" fillId="5" borderId="10" xfId="1" applyNumberFormat="1" applyFont="1" applyFill="1" applyBorder="1" applyAlignment="1">
      <alignment horizontal="center" vertical="center"/>
    </xf>
    <xf numFmtId="43" fontId="70" fillId="0" borderId="213" xfId="1" applyNumberFormat="1" applyFont="1" applyBorder="1" applyAlignment="1">
      <alignment horizontal="center" vertical="center"/>
    </xf>
    <xf numFmtId="43" fontId="70" fillId="0" borderId="10" xfId="1" applyNumberFormat="1" applyFont="1" applyFill="1" applyBorder="1" applyAlignment="1">
      <alignment horizontal="center" vertical="center"/>
    </xf>
    <xf numFmtId="43" fontId="70" fillId="5" borderId="213" xfId="1" applyNumberFormat="1" applyFont="1" applyFill="1" applyBorder="1" applyAlignment="1">
      <alignment horizontal="center" vertical="center"/>
    </xf>
    <xf numFmtId="43" fontId="70" fillId="5" borderId="199" xfId="1" applyNumberFormat="1" applyFont="1" applyFill="1" applyBorder="1" applyAlignment="1">
      <alignment horizontal="center" vertical="center"/>
    </xf>
    <xf numFmtId="167" fontId="53" fillId="0" borderId="5" xfId="1" applyNumberFormat="1" applyFont="1" applyBorder="1" applyAlignment="1">
      <alignment horizontal="center"/>
    </xf>
    <xf numFmtId="167" fontId="53" fillId="0" borderId="28" xfId="1" applyNumberFormat="1" applyFont="1" applyBorder="1" applyAlignment="1">
      <alignment horizontal="center"/>
    </xf>
    <xf numFmtId="167" fontId="70" fillId="0" borderId="5" xfId="1" applyNumberFormat="1" applyFont="1" applyFill="1" applyBorder="1" applyAlignment="1">
      <alignment horizontal="center"/>
    </xf>
    <xf numFmtId="167" fontId="209" fillId="0" borderId="5" xfId="1" applyNumberFormat="1" applyFont="1" applyFill="1" applyBorder="1" applyAlignment="1">
      <alignment horizontal="center"/>
    </xf>
    <xf numFmtId="167" fontId="53" fillId="0" borderId="6" xfId="1" applyNumberFormat="1" applyFont="1" applyBorder="1" applyAlignment="1">
      <alignment horizontal="center"/>
    </xf>
    <xf numFmtId="167" fontId="53" fillId="0" borderId="35" xfId="1" applyNumberFormat="1" applyFont="1" applyBorder="1" applyAlignment="1">
      <alignment horizontal="center"/>
    </xf>
    <xf numFmtId="167" fontId="70" fillId="0" borderId="6" xfId="1" applyNumberFormat="1" applyFont="1" applyFill="1" applyBorder="1" applyAlignment="1">
      <alignment horizontal="center"/>
    </xf>
    <xf numFmtId="167" fontId="209" fillId="0" borderId="6" xfId="1" applyNumberFormat="1" applyFont="1" applyFill="1" applyBorder="1" applyAlignment="1">
      <alignment horizontal="center"/>
    </xf>
    <xf numFmtId="167" fontId="53" fillId="0" borderId="6" xfId="1" applyNumberFormat="1" applyFont="1" applyFill="1" applyBorder="1" applyAlignment="1">
      <alignment horizontal="center" vertical="center"/>
    </xf>
    <xf numFmtId="167" fontId="53" fillId="0" borderId="35" xfId="1" applyNumberFormat="1" applyFont="1" applyFill="1" applyBorder="1" applyAlignment="1">
      <alignment horizontal="center" vertical="center"/>
    </xf>
    <xf numFmtId="167" fontId="53" fillId="0" borderId="7" xfId="1" applyNumberFormat="1" applyFont="1" applyBorder="1" applyAlignment="1">
      <alignment horizontal="center"/>
    </xf>
    <xf numFmtId="167" fontId="53" fillId="0" borderId="27" xfId="1" applyNumberFormat="1" applyFont="1" applyBorder="1" applyAlignment="1">
      <alignment horizontal="center"/>
    </xf>
    <xf numFmtId="167" fontId="70" fillId="0" borderId="7" xfId="1" applyNumberFormat="1" applyFont="1" applyFill="1" applyBorder="1" applyAlignment="1">
      <alignment horizontal="center"/>
    </xf>
    <xf numFmtId="167" fontId="209" fillId="0" borderId="7" xfId="1" applyNumberFormat="1" applyFont="1" applyFill="1" applyBorder="1" applyAlignment="1">
      <alignment horizontal="center"/>
    </xf>
    <xf numFmtId="167" fontId="70" fillId="0" borderId="150" xfId="1" applyNumberFormat="1" applyFont="1" applyBorder="1" applyAlignment="1">
      <alignment horizontal="center"/>
    </xf>
    <xf numFmtId="167" fontId="70" fillId="0" borderId="47" xfId="1" applyNumberFormat="1" applyFont="1" applyBorder="1" applyAlignment="1">
      <alignment horizontal="center"/>
    </xf>
    <xf numFmtId="4" fontId="70" fillId="0" borderId="28" xfId="0" applyNumberFormat="1" applyFont="1" applyBorder="1" applyAlignment="1">
      <alignment horizontal="center"/>
    </xf>
    <xf numFmtId="43" fontId="49" fillId="5" borderId="6" xfId="1" applyNumberFormat="1" applyFont="1" applyFill="1" applyBorder="1" applyAlignment="1">
      <alignment horizontal="center"/>
    </xf>
    <xf numFmtId="4" fontId="70" fillId="0" borderId="7" xfId="0" applyNumberFormat="1" applyFont="1" applyBorder="1" applyAlignment="1">
      <alignment horizontal="center"/>
    </xf>
    <xf numFmtId="43" fontId="49" fillId="0" borderId="7" xfId="1" applyNumberFormat="1" applyFont="1" applyFill="1" applyBorder="1" applyAlignment="1">
      <alignment horizontal="center"/>
    </xf>
    <xf numFmtId="4" fontId="208" fillId="75" borderId="14" xfId="0" applyNumberFormat="1" applyFont="1" applyFill="1" applyBorder="1" applyAlignment="1">
      <alignment horizontal="center" vertical="center"/>
    </xf>
    <xf numFmtId="4" fontId="208" fillId="75" borderId="13" xfId="0" applyNumberFormat="1" applyFont="1" applyFill="1" applyBorder="1" applyAlignment="1">
      <alignment horizontal="center" vertical="center"/>
    </xf>
    <xf numFmtId="4" fontId="208" fillId="75" borderId="149" xfId="0" applyNumberFormat="1" applyFont="1" applyFill="1" applyBorder="1" applyAlignment="1">
      <alignment horizontal="center" vertical="center"/>
    </xf>
    <xf numFmtId="10" fontId="53" fillId="0" borderId="39" xfId="6" applyNumberFormat="1" applyFont="1" applyBorder="1" applyAlignment="1">
      <alignment horizontal="center" vertical="center"/>
    </xf>
    <xf numFmtId="43" fontId="53" fillId="5" borderId="49" xfId="1" applyFont="1" applyFill="1" applyBorder="1" applyAlignment="1">
      <alignment horizontal="center" vertical="center" wrapText="1"/>
    </xf>
    <xf numFmtId="43" fontId="53" fillId="5" borderId="18" xfId="1" applyFont="1" applyFill="1" applyBorder="1" applyAlignment="1">
      <alignment horizontal="center" vertical="center" wrapText="1"/>
    </xf>
    <xf numFmtId="43" fontId="53" fillId="5" borderId="21" xfId="1" applyFont="1" applyFill="1" applyBorder="1" applyAlignment="1">
      <alignment horizontal="center" vertical="center" wrapText="1"/>
    </xf>
    <xf numFmtId="43" fontId="49" fillId="5" borderId="6" xfId="1" applyFont="1" applyFill="1" applyBorder="1" applyAlignment="1">
      <alignment horizontal="center" vertical="center" wrapText="1"/>
    </xf>
    <xf numFmtId="3" fontId="70" fillId="0" borderId="5" xfId="0" applyNumberFormat="1" applyFont="1" applyBorder="1" applyAlignment="1">
      <alignment horizontal="center"/>
    </xf>
    <xf numFmtId="3" fontId="70" fillId="0" borderId="6" xfId="0" applyNumberFormat="1" applyFont="1" applyBorder="1" applyAlignment="1">
      <alignment horizontal="center"/>
    </xf>
    <xf numFmtId="3" fontId="70" fillId="5" borderId="6" xfId="0" applyNumberFormat="1" applyFont="1" applyFill="1" applyBorder="1" applyAlignment="1">
      <alignment horizontal="center"/>
    </xf>
    <xf numFmtId="3" fontId="208" fillId="75" borderId="35" xfId="0" applyNumberFormat="1" applyFont="1" applyFill="1" applyBorder="1" applyAlignment="1">
      <alignment horizontal="center" vertical="center"/>
    </xf>
    <xf numFmtId="3" fontId="70" fillId="0" borderId="7" xfId="0" applyNumberFormat="1" applyFont="1" applyBorder="1" applyAlignment="1">
      <alignment horizontal="center"/>
    </xf>
    <xf numFmtId="2" fontId="70" fillId="0" borderId="13" xfId="0" applyNumberFormat="1" applyFont="1" applyFill="1" applyBorder="1" applyAlignment="1">
      <alignment horizontal="center" vertical="center" wrapText="1"/>
    </xf>
    <xf numFmtId="0" fontId="208" fillId="0" borderId="0" xfId="0" applyFont="1" applyBorder="1" applyAlignment="1">
      <alignment horizontal="center"/>
    </xf>
    <xf numFmtId="0" fontId="158" fillId="0" borderId="0" xfId="357" applyFont="1" applyBorder="1" applyAlignment="1">
      <alignment horizontal="left"/>
    </xf>
    <xf numFmtId="0" fontId="138" fillId="79" borderId="13" xfId="2" applyFont="1" applyFill="1" applyBorder="1" applyAlignment="1">
      <alignment horizontal="center" vertical="center"/>
    </xf>
    <xf numFmtId="167" fontId="70" fillId="0" borderId="111" xfId="1" applyNumberFormat="1" applyFont="1" applyBorder="1"/>
    <xf numFmtId="167" fontId="70" fillId="0" borderId="203" xfId="1" applyNumberFormat="1" applyFont="1" applyBorder="1"/>
    <xf numFmtId="167" fontId="70" fillId="0" borderId="209" xfId="1" applyNumberFormat="1" applyFont="1" applyBorder="1" applyAlignment="1">
      <alignment horizontal="right" vertical="center"/>
    </xf>
    <xf numFmtId="43" fontId="70" fillId="0" borderId="151" xfId="1" applyNumberFormat="1" applyFont="1" applyBorder="1" applyAlignment="1">
      <alignment vertical="center"/>
    </xf>
    <xf numFmtId="43" fontId="70" fillId="0" borderId="44" xfId="1" applyNumberFormat="1" applyFont="1" applyBorder="1" applyAlignment="1">
      <alignment vertical="center"/>
    </xf>
    <xf numFmtId="43" fontId="70" fillId="0" borderId="243" xfId="1" applyNumberFormat="1" applyFont="1" applyBorder="1" applyAlignment="1">
      <alignment vertical="center"/>
    </xf>
    <xf numFmtId="43" fontId="70" fillId="5" borderId="243" xfId="1" applyNumberFormat="1" applyFont="1" applyFill="1" applyBorder="1" applyAlignment="1">
      <alignment vertical="center"/>
    </xf>
    <xf numFmtId="167" fontId="53" fillId="0" borderId="28" xfId="1" applyNumberFormat="1" applyFont="1" applyBorder="1"/>
    <xf numFmtId="167" fontId="53" fillId="0" borderId="35" xfId="1" applyNumberFormat="1" applyFont="1" applyBorder="1"/>
    <xf numFmtId="167" fontId="53" fillId="0" borderId="35" xfId="1" applyNumberFormat="1" applyFont="1" applyFill="1" applyBorder="1" applyAlignment="1">
      <alignment vertical="center"/>
    </xf>
    <xf numFmtId="167" fontId="53" fillId="0" borderId="27" xfId="1" applyNumberFormat="1" applyFont="1" applyBorder="1"/>
    <xf numFmtId="167" fontId="70" fillId="0" borderId="151" xfId="1" applyNumberFormat="1" applyFont="1" applyBorder="1"/>
    <xf numFmtId="167" fontId="70" fillId="0" borderId="44" xfId="1" applyNumberFormat="1" applyFont="1" applyBorder="1"/>
    <xf numFmtId="43" fontId="53" fillId="5" borderId="154" xfId="1" applyFont="1" applyFill="1" applyBorder="1" applyAlignment="1">
      <alignment horizontal="right" vertical="center" wrapText="1"/>
    </xf>
    <xf numFmtId="43" fontId="53" fillId="5" borderId="87" xfId="1" applyFont="1" applyFill="1" applyBorder="1" applyAlignment="1">
      <alignment horizontal="right" vertical="center" wrapText="1"/>
    </xf>
    <xf numFmtId="43" fontId="70" fillId="0" borderId="208" xfId="1" applyNumberFormat="1" applyFont="1" applyBorder="1" applyAlignment="1">
      <alignment horizontal="center"/>
    </xf>
    <xf numFmtId="43" fontId="70" fillId="0" borderId="103" xfId="1" applyNumberFormat="1" applyFont="1" applyBorder="1" applyAlignment="1">
      <alignment horizontal="center"/>
    </xf>
    <xf numFmtId="3" fontId="208" fillId="75" borderId="149" xfId="0" applyNumberFormat="1" applyFont="1" applyFill="1" applyBorder="1" applyAlignment="1">
      <alignment horizontal="center" vertical="center"/>
    </xf>
    <xf numFmtId="167" fontId="70" fillId="0" borderId="156" xfId="1" applyNumberFormat="1" applyFont="1" applyBorder="1" applyAlignment="1">
      <alignment horizontal="center"/>
    </xf>
    <xf numFmtId="167" fontId="70" fillId="0" borderId="104" xfId="1" applyNumberFormat="1" applyFont="1" applyBorder="1" applyAlignment="1">
      <alignment horizontal="center"/>
    </xf>
    <xf numFmtId="167" fontId="70" fillId="0" borderId="184" xfId="1" applyNumberFormat="1" applyFont="1" applyBorder="1" applyAlignment="1">
      <alignment horizontal="center" vertical="center"/>
    </xf>
    <xf numFmtId="43" fontId="70" fillId="0" borderId="156" xfId="1" applyNumberFormat="1" applyFont="1" applyBorder="1" applyAlignment="1">
      <alignment horizontal="center" vertical="center"/>
    </xf>
    <xf numFmtId="43" fontId="70" fillId="5" borderId="104" xfId="1" applyNumberFormat="1" applyFont="1" applyFill="1" applyBorder="1" applyAlignment="1">
      <alignment horizontal="center" vertical="center"/>
    </xf>
    <xf numFmtId="43" fontId="70" fillId="0" borderId="104" xfId="1" applyNumberFormat="1" applyFont="1" applyFill="1" applyBorder="1" applyAlignment="1">
      <alignment horizontal="center" vertical="center"/>
    </xf>
    <xf numFmtId="43" fontId="70" fillId="5" borderId="105" xfId="1" applyNumberFormat="1" applyFont="1" applyFill="1" applyBorder="1" applyAlignment="1">
      <alignment horizontal="center" vertical="center"/>
    </xf>
    <xf numFmtId="167" fontId="70" fillId="0" borderId="113" xfId="418" applyNumberFormat="1" applyFont="1" applyFill="1" applyBorder="1" applyAlignment="1">
      <alignment horizontal="center"/>
    </xf>
    <xf numFmtId="167" fontId="70" fillId="0" borderId="140" xfId="418" applyNumberFormat="1" applyFont="1" applyFill="1" applyBorder="1" applyAlignment="1">
      <alignment horizontal="center"/>
    </xf>
    <xf numFmtId="167" fontId="53" fillId="0" borderId="140" xfId="418" applyNumberFormat="1" applyFont="1" applyFill="1" applyBorder="1" applyAlignment="1">
      <alignment horizontal="center" vertical="center"/>
    </xf>
    <xf numFmtId="167" fontId="70" fillId="0" borderId="196" xfId="418" applyNumberFormat="1" applyFont="1" applyFill="1" applyBorder="1" applyAlignment="1">
      <alignment horizontal="center"/>
    </xf>
    <xf numFmtId="167" fontId="70" fillId="0" borderId="155" xfId="1" applyNumberFormat="1" applyFont="1" applyBorder="1" applyAlignment="1">
      <alignment horizontal="center"/>
    </xf>
    <xf numFmtId="167" fontId="70" fillId="0" borderId="199" xfId="1" applyNumberFormat="1" applyFont="1" applyBorder="1" applyAlignment="1">
      <alignment horizontal="center"/>
    </xf>
    <xf numFmtId="10" fontId="53" fillId="5" borderId="32" xfId="6" applyNumberFormat="1" applyFont="1" applyFill="1" applyBorder="1" applyAlignment="1">
      <alignment horizontal="center" vertical="center"/>
    </xf>
    <xf numFmtId="4" fontId="70" fillId="0" borderId="31" xfId="0" applyNumberFormat="1" applyFont="1" applyBorder="1" applyAlignment="1">
      <alignment horizontal="center"/>
    </xf>
    <xf numFmtId="10" fontId="53" fillId="0" borderId="102" xfId="6" applyNumberFormat="1" applyFont="1" applyBorder="1" applyAlignment="1">
      <alignment horizontal="center" vertical="center"/>
    </xf>
    <xf numFmtId="43" fontId="53" fillId="5" borderId="113" xfId="1" applyFont="1" applyFill="1" applyBorder="1" applyAlignment="1">
      <alignment horizontal="center" vertical="center" wrapText="1"/>
    </xf>
    <xf numFmtId="43" fontId="53" fillId="5" borderId="144" xfId="1" applyFont="1" applyFill="1" applyBorder="1" applyAlignment="1">
      <alignment horizontal="center" vertical="center" wrapText="1"/>
    </xf>
    <xf numFmtId="3" fontId="70" fillId="0" borderId="34" xfId="0" applyNumberFormat="1" applyFont="1" applyBorder="1" applyAlignment="1">
      <alignment horizontal="center"/>
    </xf>
    <xf numFmtId="3" fontId="70" fillId="0" borderId="31" xfId="0" applyNumberFormat="1" applyFont="1" applyBorder="1" applyAlignment="1">
      <alignment horizontal="center"/>
    </xf>
    <xf numFmtId="3" fontId="70" fillId="5" borderId="31" xfId="0" applyNumberFormat="1" applyFont="1" applyFill="1" applyBorder="1" applyAlignment="1">
      <alignment horizontal="center"/>
    </xf>
    <xf numFmtId="3" fontId="208" fillId="75" borderId="37" xfId="0" applyNumberFormat="1" applyFont="1" applyFill="1" applyBorder="1" applyAlignment="1">
      <alignment horizontal="center" vertical="center"/>
    </xf>
    <xf numFmtId="3" fontId="70" fillId="0" borderId="32" xfId="0" applyNumberFormat="1" applyFont="1" applyBorder="1" applyAlignment="1">
      <alignment horizontal="center"/>
    </xf>
    <xf numFmtId="2" fontId="70" fillId="0" borderId="48" xfId="0" applyNumberFormat="1" applyFont="1" applyFill="1" applyBorder="1" applyAlignment="1">
      <alignment horizontal="center" vertical="center" wrapText="1"/>
    </xf>
    <xf numFmtId="167" fontId="70" fillId="0" borderId="146" xfId="1" applyNumberFormat="1" applyFont="1" applyBorder="1" applyAlignment="1">
      <alignment horizontal="center"/>
    </xf>
    <xf numFmtId="167" fontId="70" fillId="0" borderId="97" xfId="1" applyNumberFormat="1" applyFont="1" applyBorder="1" applyAlignment="1">
      <alignment horizontal="center"/>
    </xf>
    <xf numFmtId="167" fontId="70" fillId="0" borderId="221" xfId="1" applyNumberFormat="1" applyFont="1" applyBorder="1" applyAlignment="1">
      <alignment horizontal="center"/>
    </xf>
    <xf numFmtId="167" fontId="70" fillId="0" borderId="51" xfId="1" applyNumberFormat="1" applyFont="1" applyBorder="1" applyAlignment="1">
      <alignment horizontal="center" vertical="center"/>
    </xf>
    <xf numFmtId="167" fontId="70" fillId="0" borderId="114" xfId="1" applyNumberFormat="1" applyFont="1" applyBorder="1" applyAlignment="1">
      <alignment horizontal="center" vertical="center"/>
    </xf>
    <xf numFmtId="43" fontId="70" fillId="0" borderId="147" xfId="1" applyNumberFormat="1" applyFont="1" applyBorder="1" applyAlignment="1">
      <alignment horizontal="center" vertical="center"/>
    </xf>
    <xf numFmtId="43" fontId="70" fillId="0" borderId="97" xfId="1" applyNumberFormat="1" applyFont="1" applyBorder="1" applyAlignment="1">
      <alignment horizontal="center" vertical="center"/>
    </xf>
    <xf numFmtId="43" fontId="70" fillId="0" borderId="119" xfId="1" applyNumberFormat="1" applyFont="1" applyBorder="1" applyAlignment="1">
      <alignment horizontal="center" vertical="center"/>
    </xf>
    <xf numFmtId="43" fontId="70" fillId="5" borderId="97" xfId="1" applyNumberFormat="1" applyFont="1" applyFill="1" applyBorder="1" applyAlignment="1">
      <alignment horizontal="center" vertical="center"/>
    </xf>
    <xf numFmtId="43" fontId="70" fillId="0" borderId="97" xfId="1" applyNumberFormat="1" applyFont="1" applyFill="1" applyBorder="1" applyAlignment="1">
      <alignment horizontal="center" vertical="center"/>
    </xf>
    <xf numFmtId="43" fontId="70" fillId="5" borderId="119" xfId="1" applyNumberFormat="1" applyFont="1" applyFill="1" applyBorder="1" applyAlignment="1">
      <alignment horizontal="center" vertical="center"/>
    </xf>
    <xf numFmtId="43" fontId="70" fillId="5" borderId="184" xfId="1" applyNumberFormat="1" applyFont="1" applyFill="1" applyBorder="1" applyAlignment="1">
      <alignment horizontal="center" vertical="center"/>
    </xf>
    <xf numFmtId="167" fontId="53" fillId="0" borderId="24" xfId="1" applyNumberFormat="1" applyFont="1" applyBorder="1" applyAlignment="1">
      <alignment horizontal="center"/>
    </xf>
    <xf numFmtId="167" fontId="70" fillId="0" borderId="167" xfId="418" applyNumberFormat="1" applyFont="1" applyFill="1" applyBorder="1" applyAlignment="1">
      <alignment horizontal="center"/>
    </xf>
    <xf numFmtId="167" fontId="53" fillId="0" borderId="23" xfId="1" applyNumberFormat="1" applyFont="1" applyBorder="1" applyAlignment="1">
      <alignment horizontal="center"/>
    </xf>
    <xf numFmtId="167" fontId="70" fillId="0" borderId="22" xfId="418" applyNumberFormat="1" applyFont="1" applyFill="1" applyBorder="1" applyAlignment="1">
      <alignment horizontal="center"/>
    </xf>
    <xf numFmtId="167" fontId="53" fillId="0" borderId="23" xfId="1" applyNumberFormat="1" applyFont="1" applyFill="1" applyBorder="1" applyAlignment="1">
      <alignment horizontal="center" vertical="center"/>
    </xf>
    <xf numFmtId="167" fontId="53" fillId="0" borderId="22" xfId="418" applyNumberFormat="1" applyFont="1" applyFill="1" applyBorder="1" applyAlignment="1">
      <alignment horizontal="center" vertical="center"/>
    </xf>
    <xf numFmtId="167" fontId="53" fillId="0" borderId="50" xfId="1" applyNumberFormat="1" applyFont="1" applyBorder="1" applyAlignment="1">
      <alignment horizontal="center"/>
    </xf>
    <xf numFmtId="167" fontId="70" fillId="0" borderId="96" xfId="418" applyNumberFormat="1" applyFont="1" applyFill="1" applyBorder="1" applyAlignment="1">
      <alignment horizontal="center"/>
    </xf>
    <xf numFmtId="3" fontId="208" fillId="75" borderId="153" xfId="0" applyNumberFormat="1" applyFont="1" applyFill="1" applyBorder="1" applyAlignment="1">
      <alignment horizontal="center" vertical="center"/>
    </xf>
    <xf numFmtId="167" fontId="70" fillId="0" borderId="147" xfId="1" applyNumberFormat="1" applyFont="1" applyBorder="1" applyAlignment="1">
      <alignment horizontal="center"/>
    </xf>
    <xf numFmtId="167" fontId="70" fillId="0" borderId="119" xfId="1" applyNumberFormat="1" applyFont="1" applyBorder="1" applyAlignment="1">
      <alignment horizontal="center"/>
    </xf>
    <xf numFmtId="10" fontId="50" fillId="0" borderId="96" xfId="6" applyNumberFormat="1" applyFont="1" applyFill="1" applyBorder="1" applyAlignment="1">
      <alignment horizontal="center" vertical="center"/>
    </xf>
    <xf numFmtId="10" fontId="53" fillId="5" borderId="96" xfId="6" applyNumberFormat="1" applyFont="1" applyFill="1" applyBorder="1" applyAlignment="1">
      <alignment horizontal="center" vertical="center"/>
    </xf>
    <xf numFmtId="4" fontId="70" fillId="0" borderId="183" xfId="0" applyNumberFormat="1" applyFont="1" applyBorder="1" applyAlignment="1">
      <alignment horizontal="center"/>
    </xf>
    <xf numFmtId="43" fontId="49" fillId="5" borderId="22" xfId="1" applyNumberFormat="1" applyFont="1" applyFill="1" applyBorder="1" applyAlignment="1">
      <alignment horizontal="center"/>
    </xf>
    <xf numFmtId="4" fontId="70" fillId="0" borderId="50" xfId="0" applyNumberFormat="1" applyFont="1" applyBorder="1" applyAlignment="1">
      <alignment horizontal="center"/>
    </xf>
    <xf numFmtId="43" fontId="49" fillId="0" borderId="96" xfId="1" applyNumberFormat="1" applyFont="1" applyFill="1" applyBorder="1" applyAlignment="1">
      <alignment horizontal="center"/>
    </xf>
    <xf numFmtId="4" fontId="208" fillId="75" borderId="12" xfId="0" applyNumberFormat="1" applyFont="1" applyFill="1" applyBorder="1" applyAlignment="1">
      <alignment horizontal="center" vertical="center"/>
    </xf>
    <xf numFmtId="10" fontId="53" fillId="0" borderId="116" xfId="6" applyNumberFormat="1" applyFont="1" applyBorder="1" applyAlignment="1">
      <alignment horizontal="center" vertical="center"/>
    </xf>
    <xf numFmtId="10" fontId="53" fillId="0" borderId="108" xfId="6" applyNumberFormat="1" applyFont="1" applyBorder="1" applyAlignment="1">
      <alignment horizontal="center" vertical="center"/>
    </xf>
    <xf numFmtId="43" fontId="53" fillId="5" borderId="20" xfId="1" applyFont="1" applyFill="1" applyBorder="1" applyAlignment="1">
      <alignment horizontal="center" vertical="center" wrapText="1"/>
    </xf>
    <xf numFmtId="43" fontId="53" fillId="5" borderId="17" xfId="1" applyFont="1" applyFill="1" applyBorder="1" applyAlignment="1">
      <alignment horizontal="center" vertical="center" wrapText="1"/>
    </xf>
    <xf numFmtId="43" fontId="53" fillId="5" borderId="108" xfId="1" applyFont="1" applyFill="1" applyBorder="1" applyAlignment="1">
      <alignment horizontal="center" vertical="center" wrapText="1"/>
    </xf>
    <xf numFmtId="43" fontId="49" fillId="5" borderId="22" xfId="1" applyFont="1" applyFill="1" applyBorder="1" applyAlignment="1">
      <alignment horizontal="center" vertical="center" wrapText="1"/>
    </xf>
    <xf numFmtId="43" fontId="49" fillId="5" borderId="15" xfId="1" applyFont="1" applyFill="1" applyBorder="1" applyAlignment="1">
      <alignment horizontal="center" vertical="center" wrapText="1"/>
    </xf>
    <xf numFmtId="3" fontId="70" fillId="0" borderId="24" xfId="0" applyNumberFormat="1" applyFont="1" applyBorder="1" applyAlignment="1">
      <alignment horizontal="center"/>
    </xf>
    <xf numFmtId="3" fontId="70" fillId="0" borderId="167" xfId="0" applyNumberFormat="1" applyFont="1" applyBorder="1" applyAlignment="1">
      <alignment horizontal="center"/>
    </xf>
    <xf numFmtId="3" fontId="70" fillId="0" borderId="23" xfId="0" applyNumberFormat="1" applyFont="1" applyBorder="1" applyAlignment="1">
      <alignment horizontal="center"/>
    </xf>
    <xf numFmtId="3" fontId="70" fillId="5" borderId="23" xfId="0" applyNumberFormat="1" applyFont="1" applyFill="1" applyBorder="1" applyAlignment="1">
      <alignment horizontal="center"/>
    </xf>
    <xf numFmtId="3" fontId="70" fillId="5" borderId="22" xfId="0" applyNumberFormat="1" applyFont="1" applyFill="1" applyBorder="1" applyAlignment="1">
      <alignment horizontal="center"/>
    </xf>
    <xf numFmtId="3" fontId="208" fillId="75" borderId="130" xfId="0" applyNumberFormat="1" applyFont="1" applyFill="1" applyBorder="1" applyAlignment="1">
      <alignment horizontal="center" vertical="center"/>
    </xf>
    <xf numFmtId="3" fontId="208" fillId="75" borderId="22" xfId="0" applyNumberFormat="1" applyFont="1" applyFill="1" applyBorder="1" applyAlignment="1">
      <alignment horizontal="center" vertical="center"/>
    </xf>
    <xf numFmtId="3" fontId="70" fillId="0" borderId="50" xfId="0" applyNumberFormat="1" applyFont="1" applyBorder="1" applyAlignment="1">
      <alignment horizontal="center"/>
    </xf>
    <xf numFmtId="3" fontId="70" fillId="0" borderId="96" xfId="0" applyNumberFormat="1" applyFont="1" applyBorder="1" applyAlignment="1">
      <alignment horizontal="center"/>
    </xf>
    <xf numFmtId="2" fontId="70" fillId="0" borderId="14" xfId="0" applyNumberFormat="1" applyFont="1" applyFill="1" applyBorder="1" applyAlignment="1">
      <alignment horizontal="center" vertical="center" wrapText="1"/>
    </xf>
    <xf numFmtId="2" fontId="70" fillId="0" borderId="12" xfId="0" applyNumberFormat="1" applyFont="1" applyFill="1" applyBorder="1" applyAlignment="1">
      <alignment horizontal="center" vertical="center" wrapText="1"/>
    </xf>
    <xf numFmtId="17" fontId="208" fillId="4" borderId="193" xfId="0" applyNumberFormat="1" applyFont="1" applyFill="1" applyBorder="1" applyAlignment="1">
      <alignment horizontal="center" vertical="center"/>
    </xf>
    <xf numFmtId="17" fontId="208" fillId="4" borderId="38" xfId="0" applyNumberFormat="1" applyFont="1" applyFill="1" applyBorder="1" applyAlignment="1">
      <alignment horizontal="center" vertical="center"/>
    </xf>
    <xf numFmtId="167" fontId="50" fillId="0" borderId="6" xfId="418" applyNumberFormat="1" applyFont="1" applyBorder="1"/>
    <xf numFmtId="17" fontId="144" fillId="2" borderId="179" xfId="283" applyNumberFormat="1" applyFont="1" applyFill="1" applyBorder="1" applyAlignment="1">
      <alignment horizontal="center"/>
    </xf>
    <xf numFmtId="17" fontId="163" fillId="2" borderId="125" xfId="0" applyNumberFormat="1" applyFont="1" applyFill="1" applyBorder="1" applyAlignment="1">
      <alignment horizontal="center" vertical="center"/>
    </xf>
    <xf numFmtId="164" fontId="187" fillId="0" borderId="0" xfId="418" applyFont="1" applyBorder="1" applyAlignment="1">
      <alignment horizontal="center" vertical="center"/>
    </xf>
    <xf numFmtId="164" fontId="169" fillId="0" borderId="0" xfId="418" applyFont="1" applyBorder="1" applyAlignment="1">
      <alignment horizontal="center" vertical="center"/>
    </xf>
    <xf numFmtId="43" fontId="178" fillId="0" borderId="125" xfId="1" applyNumberFormat="1" applyFont="1" applyBorder="1"/>
    <xf numFmtId="3" fontId="91" fillId="0" borderId="7" xfId="310" applyNumberFormat="1" applyFont="1" applyBorder="1" applyAlignment="1">
      <alignment horizontal="center" vertical="center"/>
    </xf>
    <xf numFmtId="3" fontId="91" fillId="0" borderId="96" xfId="310" applyNumberFormat="1" applyFont="1" applyBorder="1" applyAlignment="1">
      <alignment horizontal="center" vertical="center"/>
    </xf>
    <xf numFmtId="3" fontId="91" fillId="0" borderId="20" xfId="310" applyNumberFormat="1" applyFont="1" applyBorder="1" applyAlignment="1">
      <alignment horizontal="center" vertical="center"/>
    </xf>
    <xf numFmtId="3" fontId="91" fillId="0" borderId="49" xfId="310" applyNumberFormat="1" applyFont="1" applyBorder="1" applyAlignment="1">
      <alignment horizontal="center" vertical="center"/>
    </xf>
    <xf numFmtId="3" fontId="91" fillId="0" borderId="18" xfId="310" applyNumberFormat="1" applyFont="1" applyBorder="1" applyAlignment="1">
      <alignment horizontal="center" vertical="center"/>
    </xf>
    <xf numFmtId="3" fontId="91" fillId="0" borderId="23" xfId="310" applyNumberFormat="1" applyFont="1" applyBorder="1" applyAlignment="1">
      <alignment horizontal="center" vertical="center"/>
    </xf>
    <xf numFmtId="3" fontId="52" fillId="0" borderId="16" xfId="2" applyNumberFormat="1" applyFont="1" applyFill="1" applyBorder="1" applyAlignment="1">
      <alignment horizontal="center" vertical="center"/>
    </xf>
    <xf numFmtId="17" fontId="52" fillId="0" borderId="179" xfId="2" applyNumberFormat="1" applyFont="1" applyBorder="1" applyAlignment="1">
      <alignment horizontal="center" vertical="center"/>
    </xf>
    <xf numFmtId="2" fontId="52" fillId="5" borderId="179" xfId="250" applyNumberFormat="1" applyFont="1" applyFill="1" applyBorder="1" applyAlignment="1">
      <alignment vertical="center"/>
    </xf>
    <xf numFmtId="2" fontId="52" fillId="0" borderId="0" xfId="250" applyNumberFormat="1" applyFont="1" applyBorder="1" applyAlignment="1">
      <alignment vertical="center"/>
    </xf>
    <xf numFmtId="2" fontId="52" fillId="5" borderId="0" xfId="250" applyNumberFormat="1" applyFont="1" applyFill="1" applyBorder="1" applyAlignment="1">
      <alignment vertical="center"/>
    </xf>
    <xf numFmtId="2" fontId="52" fillId="0" borderId="195" xfId="250" applyNumberFormat="1" applyFont="1" applyBorder="1" applyAlignment="1">
      <alignment vertical="center"/>
    </xf>
    <xf numFmtId="2" fontId="52" fillId="5" borderId="148" xfId="250" applyNumberFormat="1" applyFont="1" applyFill="1" applyBorder="1" applyAlignment="1">
      <alignment vertical="center"/>
    </xf>
    <xf numFmtId="17" fontId="52" fillId="0" borderId="123" xfId="2" applyNumberFormat="1" applyFont="1" applyBorder="1" applyAlignment="1">
      <alignment horizontal="center" vertical="center"/>
    </xf>
    <xf numFmtId="0" fontId="194" fillId="0" borderId="29" xfId="357" applyFont="1" applyBorder="1" applyAlignment="1"/>
    <xf numFmtId="0" fontId="158" fillId="0" borderId="0" xfId="357" applyFont="1" applyBorder="1" applyAlignment="1"/>
    <xf numFmtId="0" fontId="194" fillId="0" borderId="0" xfId="357" applyFont="1" applyBorder="1" applyAlignment="1"/>
    <xf numFmtId="0" fontId="151" fillId="2" borderId="139" xfId="0" applyFont="1" applyFill="1" applyBorder="1" applyAlignment="1">
      <alignment vertical="center"/>
    </xf>
    <xf numFmtId="0" fontId="151" fillId="2" borderId="143" xfId="0" applyFont="1" applyFill="1" applyBorder="1" applyAlignment="1">
      <alignment vertical="center"/>
    </xf>
    <xf numFmtId="167" fontId="169" fillId="0" borderId="198" xfId="418" applyNumberFormat="1" applyFont="1" applyBorder="1"/>
    <xf numFmtId="167" fontId="178" fillId="0" borderId="188" xfId="1" applyNumberFormat="1" applyFont="1" applyBorder="1"/>
    <xf numFmtId="167" fontId="163" fillId="0" borderId="110" xfId="1" applyNumberFormat="1" applyFont="1" applyBorder="1"/>
    <xf numFmtId="167" fontId="200" fillId="0" borderId="148" xfId="1" applyNumberFormat="1" applyFont="1" applyBorder="1"/>
    <xf numFmtId="17" fontId="163" fillId="2" borderId="182" xfId="0" applyNumberFormat="1" applyFont="1" applyFill="1" applyBorder="1" applyAlignment="1">
      <alignment horizontal="center"/>
    </xf>
    <xf numFmtId="167" fontId="174" fillId="0" borderId="234" xfId="1" applyNumberFormat="1" applyFont="1" applyBorder="1"/>
    <xf numFmtId="167" fontId="174" fillId="0" borderId="94" xfId="1" applyNumberFormat="1" applyFont="1" applyBorder="1"/>
    <xf numFmtId="167" fontId="174" fillId="0" borderId="112" xfId="1" applyNumberFormat="1" applyFont="1" applyBorder="1"/>
    <xf numFmtId="167" fontId="174" fillId="0" borderId="95" xfId="1" applyNumberFormat="1" applyFont="1" applyBorder="1"/>
    <xf numFmtId="167" fontId="163" fillId="0" borderId="112" xfId="1" applyNumberFormat="1" applyFont="1" applyBorder="1"/>
    <xf numFmtId="167" fontId="180" fillId="0" borderId="193" xfId="1" applyNumberFormat="1" applyFont="1" applyBorder="1"/>
    <xf numFmtId="167" fontId="163" fillId="0" borderId="94" xfId="1" applyNumberFormat="1" applyFont="1" applyBorder="1"/>
    <xf numFmtId="167" fontId="163" fillId="0" borderId="95" xfId="1" applyNumberFormat="1" applyFont="1" applyBorder="1"/>
    <xf numFmtId="167" fontId="201" fillId="0" borderId="112" xfId="1" applyNumberFormat="1" applyFont="1" applyBorder="1"/>
    <xf numFmtId="167" fontId="200" fillId="0" borderId="193" xfId="1" applyNumberFormat="1" applyFont="1" applyBorder="1"/>
    <xf numFmtId="167" fontId="169" fillId="0" borderId="187" xfId="418" applyNumberFormat="1" applyFont="1" applyBorder="1"/>
    <xf numFmtId="167" fontId="169" fillId="0" borderId="26" xfId="418" applyNumberFormat="1" applyFont="1" applyBorder="1"/>
    <xf numFmtId="167" fontId="169" fillId="0" borderId="186" xfId="418" applyNumberFormat="1" applyFont="1" applyBorder="1"/>
    <xf numFmtId="167" fontId="178" fillId="0" borderId="148" xfId="1" applyNumberFormat="1" applyFont="1" applyBorder="1"/>
    <xf numFmtId="17" fontId="163" fillId="2" borderId="182" xfId="0" applyNumberFormat="1" applyFont="1" applyFill="1" applyBorder="1" applyAlignment="1">
      <alignment horizontal="center" vertical="center"/>
    </xf>
    <xf numFmtId="167" fontId="169" fillId="0" borderId="234" xfId="418" applyNumberFormat="1" applyFont="1" applyBorder="1"/>
    <xf numFmtId="167" fontId="169" fillId="0" borderId="94" xfId="418" applyNumberFormat="1" applyFont="1" applyBorder="1"/>
    <xf numFmtId="167" fontId="169" fillId="0" borderId="95" xfId="418" applyNumberFormat="1" applyFont="1" applyBorder="1"/>
    <xf numFmtId="167" fontId="169" fillId="0" borderId="112" xfId="418" applyNumberFormat="1" applyFont="1" applyBorder="1"/>
    <xf numFmtId="167" fontId="178" fillId="0" borderId="192" xfId="1" applyNumberFormat="1" applyFont="1" applyBorder="1"/>
    <xf numFmtId="167" fontId="174" fillId="0" borderId="121" xfId="1" applyNumberFormat="1" applyFont="1" applyBorder="1"/>
    <xf numFmtId="167" fontId="174" fillId="0" borderId="38" xfId="1" applyNumberFormat="1" applyFont="1" applyBorder="1"/>
    <xf numFmtId="43" fontId="200" fillId="0" borderId="193" xfId="1" applyNumberFormat="1" applyFont="1" applyBorder="1"/>
    <xf numFmtId="43" fontId="174" fillId="0" borderId="192" xfId="1" applyNumberFormat="1" applyFont="1" applyBorder="1"/>
    <xf numFmtId="43" fontId="200" fillId="0" borderId="148" xfId="1" applyNumberFormat="1" applyFont="1" applyBorder="1"/>
    <xf numFmtId="43" fontId="163" fillId="0" borderId="234" xfId="1" applyFont="1" applyBorder="1"/>
    <xf numFmtId="43" fontId="163" fillId="0" borderId="95" xfId="1" applyFont="1" applyBorder="1"/>
    <xf numFmtId="43" fontId="163" fillId="0" borderId="94" xfId="1" applyFont="1" applyBorder="1"/>
    <xf numFmtId="43" fontId="163" fillId="0" borderId="112" xfId="1" applyFont="1" applyBorder="1"/>
    <xf numFmtId="167" fontId="163" fillId="0" borderId="38" xfId="1" applyNumberFormat="1" applyFont="1" applyBorder="1"/>
    <xf numFmtId="164" fontId="169" fillId="0" borderId="187" xfId="418" applyFont="1" applyBorder="1" applyAlignment="1">
      <alignment horizontal="center" vertical="center"/>
    </xf>
    <xf numFmtId="43" fontId="178" fillId="0" borderId="188" xfId="1" applyNumberFormat="1" applyFont="1" applyBorder="1"/>
    <xf numFmtId="43" fontId="163" fillId="0" borderId="210" xfId="1" applyFont="1" applyBorder="1"/>
    <xf numFmtId="43" fontId="163" fillId="0" borderId="109" xfId="1" applyFont="1" applyBorder="1"/>
    <xf numFmtId="43" fontId="163" fillId="0" borderId="110" xfId="1" applyFont="1" applyBorder="1"/>
    <xf numFmtId="43" fontId="163" fillId="0" borderId="111" xfId="1" applyFont="1" applyBorder="1"/>
    <xf numFmtId="167" fontId="163" fillId="0" borderId="121" xfId="1" applyNumberFormat="1" applyFont="1" applyBorder="1"/>
    <xf numFmtId="43" fontId="180" fillId="0" borderId="193" xfId="1" applyNumberFormat="1" applyFont="1" applyBorder="1"/>
    <xf numFmtId="164" fontId="187" fillId="0" borderId="33" xfId="418" applyNumberFormat="1" applyFont="1" applyBorder="1" applyAlignment="1">
      <alignment horizontal="center" vertical="center"/>
    </xf>
    <xf numFmtId="164" fontId="169" fillId="0" borderId="36" xfId="418" applyFont="1" applyBorder="1" applyAlignment="1">
      <alignment horizontal="center" vertical="center"/>
    </xf>
    <xf numFmtId="164" fontId="169" fillId="0" borderId="30" xfId="418" applyFont="1" applyBorder="1" applyAlignment="1">
      <alignment horizontal="center" vertical="center"/>
    </xf>
    <xf numFmtId="167" fontId="187" fillId="0" borderId="30" xfId="418" applyNumberFormat="1" applyFont="1" applyBorder="1" applyAlignment="1">
      <alignment horizontal="center" vertical="center"/>
    </xf>
    <xf numFmtId="164" fontId="187" fillId="0" borderId="36" xfId="418" applyFont="1" applyBorder="1" applyAlignment="1">
      <alignment horizontal="center" vertical="center"/>
    </xf>
    <xf numFmtId="164" fontId="187" fillId="0" borderId="198" xfId="418" applyFont="1" applyBorder="1" applyAlignment="1">
      <alignment horizontal="center" vertical="center"/>
    </xf>
    <xf numFmtId="164" fontId="169" fillId="0" borderId="198" xfId="418" applyFont="1" applyBorder="1" applyAlignment="1">
      <alignment horizontal="center" vertical="center"/>
    </xf>
    <xf numFmtId="164" fontId="187" fillId="0" borderId="186" xfId="418" applyFont="1" applyBorder="1" applyAlignment="1">
      <alignment horizontal="center" vertical="center"/>
    </xf>
    <xf numFmtId="164" fontId="187" fillId="0" borderId="210" xfId="418" applyFont="1" applyBorder="1" applyAlignment="1">
      <alignment horizontal="center" vertical="center"/>
    </xf>
    <xf numFmtId="164" fontId="169" fillId="0" borderId="210" xfId="418" applyFont="1" applyBorder="1" applyAlignment="1">
      <alignment horizontal="center" vertical="center"/>
    </xf>
    <xf numFmtId="164" fontId="169" fillId="0" borderId="109" xfId="418" applyFont="1" applyBorder="1" applyAlignment="1">
      <alignment horizontal="center" vertical="center"/>
    </xf>
    <xf numFmtId="164" fontId="169" fillId="0" borderId="110" xfId="418" applyFont="1" applyBorder="1" applyAlignment="1">
      <alignment horizontal="center" vertical="center"/>
    </xf>
    <xf numFmtId="164" fontId="169" fillId="0" borderId="111" xfId="418" applyFont="1" applyBorder="1" applyAlignment="1">
      <alignment horizontal="center" vertical="center"/>
    </xf>
    <xf numFmtId="164" fontId="187" fillId="0" borderId="109" xfId="418" applyFont="1" applyBorder="1" applyAlignment="1">
      <alignment horizontal="center" vertical="center"/>
    </xf>
    <xf numFmtId="164" fontId="187" fillId="0" borderId="111" xfId="418" applyFont="1" applyBorder="1" applyAlignment="1">
      <alignment horizontal="center" vertical="center"/>
    </xf>
    <xf numFmtId="164" fontId="187" fillId="0" borderId="234" xfId="418" applyFont="1" applyBorder="1" applyAlignment="1">
      <alignment horizontal="center" vertical="center"/>
    </xf>
    <xf numFmtId="164" fontId="169" fillId="0" borderId="234" xfId="418" applyFont="1" applyBorder="1" applyAlignment="1">
      <alignment horizontal="center" vertical="center"/>
    </xf>
    <xf numFmtId="164" fontId="169" fillId="0" borderId="95" xfId="418" applyFont="1" applyBorder="1" applyAlignment="1">
      <alignment horizontal="center" vertical="center"/>
    </xf>
    <xf numFmtId="164" fontId="169" fillId="0" borderId="94" xfId="418" applyFont="1" applyBorder="1" applyAlignment="1">
      <alignment horizontal="center" vertical="center"/>
    </xf>
    <xf numFmtId="164" fontId="169" fillId="0" borderId="112" xfId="418" applyFont="1" applyBorder="1" applyAlignment="1">
      <alignment horizontal="center" vertical="center"/>
    </xf>
    <xf numFmtId="164" fontId="187" fillId="0" borderId="95" xfId="418" applyFont="1" applyBorder="1" applyAlignment="1">
      <alignment horizontal="center" vertical="center"/>
    </xf>
    <xf numFmtId="164" fontId="187" fillId="0" borderId="112" xfId="418" applyFont="1" applyBorder="1" applyAlignment="1">
      <alignment horizontal="center" vertical="center"/>
    </xf>
    <xf numFmtId="43" fontId="178" fillId="0" borderId="192" xfId="1" applyNumberFormat="1" applyFont="1" applyBorder="1"/>
    <xf numFmtId="0" fontId="51" fillId="0" borderId="153" xfId="414" applyFont="1" applyFill="1" applyBorder="1" applyAlignment="1">
      <alignment vertical="center"/>
    </xf>
    <xf numFmtId="17" fontId="69" fillId="0" borderId="136" xfId="2" applyNumberFormat="1" applyFont="1" applyBorder="1" applyAlignment="1">
      <alignment horizontal="center" vertical="center"/>
    </xf>
    <xf numFmtId="17" fontId="69" fillId="0" borderId="132" xfId="2" applyNumberFormat="1" applyFont="1" applyBorder="1" applyAlignment="1">
      <alignment horizontal="center" vertical="center"/>
    </xf>
    <xf numFmtId="17" fontId="69" fillId="0" borderId="128" xfId="2" applyNumberFormat="1" applyFont="1" applyBorder="1" applyAlignment="1">
      <alignment horizontal="center" vertical="center"/>
    </xf>
    <xf numFmtId="17" fontId="69" fillId="0" borderId="145" xfId="2" applyNumberFormat="1" applyFont="1" applyBorder="1" applyAlignment="1">
      <alignment horizontal="center" vertical="center"/>
    </xf>
    <xf numFmtId="1" fontId="69" fillId="0" borderId="6" xfId="2" applyNumberFormat="1" applyFont="1" applyBorder="1" applyAlignment="1">
      <alignment horizontal="center" vertical="center"/>
    </xf>
    <xf numFmtId="1" fontId="69" fillId="0" borderId="20" xfId="2" applyNumberFormat="1" applyFont="1" applyBorder="1" applyAlignment="1">
      <alignment horizontal="center" vertical="center"/>
    </xf>
    <xf numFmtId="1" fontId="69" fillId="0" borderId="49" xfId="2" applyNumberFormat="1" applyFont="1" applyBorder="1" applyAlignment="1">
      <alignment horizontal="center" vertical="center"/>
    </xf>
    <xf numFmtId="1" fontId="69" fillId="0" borderId="18" xfId="2" applyNumberFormat="1" applyFont="1" applyBorder="1" applyAlignment="1">
      <alignment horizontal="center" vertical="center"/>
    </xf>
    <xf numFmtId="1" fontId="69" fillId="0" borderId="23" xfId="2" applyNumberFormat="1" applyFont="1" applyBorder="1" applyAlignment="1">
      <alignment horizontal="center" vertical="center"/>
    </xf>
    <xf numFmtId="1" fontId="69" fillId="0" borderId="22" xfId="2" applyNumberFormat="1" applyFont="1" applyBorder="1" applyAlignment="1">
      <alignment horizontal="center" vertical="center"/>
    </xf>
    <xf numFmtId="1" fontId="69" fillId="0" borderId="17" xfId="2" applyNumberFormat="1" applyFont="1" applyBorder="1" applyAlignment="1">
      <alignment horizontal="center" vertical="center"/>
    </xf>
    <xf numFmtId="1" fontId="69" fillId="0" borderId="21" xfId="2" applyNumberFormat="1" applyFont="1" applyBorder="1" applyAlignment="1">
      <alignment horizontal="center" vertical="center"/>
    </xf>
    <xf numFmtId="1" fontId="69" fillId="0" borderId="15" xfId="2" applyNumberFormat="1" applyFont="1" applyBorder="1" applyAlignment="1">
      <alignment horizontal="center" vertical="center"/>
    </xf>
    <xf numFmtId="17" fontId="49" fillId="2" borderId="139" xfId="2" applyNumberFormat="1" applyFont="1" applyFill="1" applyBorder="1" applyAlignment="1">
      <alignment horizontal="center" vertical="center"/>
    </xf>
    <xf numFmtId="17" fontId="49" fillId="2" borderId="130" xfId="2" applyNumberFormat="1" applyFont="1" applyFill="1" applyBorder="1" applyAlignment="1">
      <alignment horizontal="center" vertical="center"/>
    </xf>
    <xf numFmtId="17" fontId="49" fillId="2" borderId="191" xfId="2" applyNumberFormat="1" applyFont="1" applyFill="1" applyBorder="1" applyAlignment="1">
      <alignment horizontal="center" vertical="center"/>
    </xf>
    <xf numFmtId="167" fontId="49" fillId="0" borderId="146" xfId="1" applyNumberFormat="1" applyFont="1" applyBorder="1" applyAlignment="1">
      <alignment horizontal="right" vertical="center" wrapText="1"/>
    </xf>
    <xf numFmtId="43" fontId="49" fillId="0" borderId="133" xfId="1" applyFont="1" applyBorder="1" applyAlignment="1">
      <alignment horizontal="center" vertical="center"/>
    </xf>
    <xf numFmtId="167" fontId="49" fillId="0" borderId="119" xfId="1" applyNumberFormat="1" applyFont="1" applyBorder="1" applyAlignment="1">
      <alignment horizontal="right" vertical="center" wrapText="1"/>
    </xf>
    <xf numFmtId="43" fontId="49" fillId="0" borderId="136" xfId="1" applyFont="1" applyBorder="1" applyAlignment="1">
      <alignment horizontal="center" vertical="center"/>
    </xf>
    <xf numFmtId="43" fontId="49" fillId="5" borderId="195" xfId="1" applyFont="1" applyFill="1" applyBorder="1" applyAlignment="1">
      <alignment horizontal="center" vertical="center"/>
    </xf>
    <xf numFmtId="43" fontId="49" fillId="5" borderId="136" xfId="1" applyFont="1" applyFill="1" applyBorder="1" applyAlignment="1">
      <alignment horizontal="center" vertical="center"/>
    </xf>
    <xf numFmtId="167" fontId="49" fillId="0" borderId="50" xfId="1" applyNumberFormat="1" applyFont="1" applyBorder="1" applyAlignment="1">
      <alignment horizontal="right" vertical="center" wrapText="1"/>
    </xf>
    <xf numFmtId="167" fontId="49" fillId="0" borderId="51" xfId="1" applyNumberFormat="1" applyFont="1" applyBorder="1" applyAlignment="1">
      <alignment horizontal="right" vertical="center" wrapText="1"/>
    </xf>
    <xf numFmtId="43" fontId="49" fillId="5" borderId="96" xfId="1" applyFont="1" applyFill="1" applyBorder="1" applyAlignment="1">
      <alignment horizontal="center" vertical="center"/>
    </xf>
    <xf numFmtId="43" fontId="49" fillId="0" borderId="147" xfId="1" applyFont="1" applyBorder="1" applyAlignment="1">
      <alignment horizontal="right" vertical="center" wrapText="1"/>
    </xf>
    <xf numFmtId="43" fontId="49" fillId="5" borderId="194" xfId="1" applyFont="1" applyFill="1" applyBorder="1" applyAlignment="1">
      <alignment horizontal="right" vertical="center" wrapText="1"/>
    </xf>
    <xf numFmtId="188" fontId="53" fillId="5" borderId="150" xfId="0" applyNumberFormat="1" applyFont="1" applyFill="1" applyBorder="1" applyAlignment="1">
      <alignment horizontal="center" vertical="center"/>
    </xf>
    <xf numFmtId="3" fontId="91" fillId="0" borderId="50" xfId="310" applyNumberFormat="1" applyFont="1" applyBorder="1" applyAlignment="1">
      <alignment horizontal="center" vertical="center"/>
    </xf>
    <xf numFmtId="43" fontId="70" fillId="0" borderId="189" xfId="1" applyNumberFormat="1" applyFont="1" applyBorder="1" applyAlignment="1">
      <alignment horizontal="center"/>
    </xf>
    <xf numFmtId="43" fontId="50" fillId="5" borderId="136" xfId="1" applyNumberFormat="1" applyFont="1" applyFill="1" applyBorder="1"/>
    <xf numFmtId="43" fontId="50" fillId="0" borderId="136" xfId="1" applyNumberFormat="1" applyFont="1" applyBorder="1"/>
    <xf numFmtId="43" fontId="50" fillId="0" borderId="134" xfId="1" applyNumberFormat="1" applyFont="1" applyBorder="1"/>
    <xf numFmtId="167" fontId="50" fillId="0" borderId="134" xfId="1" applyNumberFormat="1" applyFont="1" applyBorder="1"/>
    <xf numFmtId="167" fontId="50" fillId="0" borderId="134" xfId="1" applyNumberFormat="1" applyFont="1" applyBorder="1" applyAlignment="1">
      <alignment horizontal="right" vertical="center"/>
    </xf>
    <xf numFmtId="43" fontId="50" fillId="0" borderId="134" xfId="1" applyNumberFormat="1" applyFont="1" applyBorder="1" applyAlignment="1">
      <alignment horizontal="right" vertical="center"/>
    </xf>
    <xf numFmtId="43" fontId="50" fillId="5" borderId="134" xfId="1" applyNumberFormat="1" applyFont="1" applyFill="1" applyBorder="1" applyAlignment="1">
      <alignment vertical="center"/>
    </xf>
    <xf numFmtId="43" fontId="50" fillId="0" borderId="134" xfId="1" applyNumberFormat="1" applyFont="1" applyFill="1" applyBorder="1" applyAlignment="1">
      <alignment horizontal="right" vertical="center"/>
    </xf>
    <xf numFmtId="10" fontId="53" fillId="0" borderId="193" xfId="6" applyNumberFormat="1" applyFont="1" applyBorder="1" applyAlignment="1">
      <alignment horizontal="center" vertical="center"/>
    </xf>
    <xf numFmtId="3" fontId="70" fillId="0" borderId="181" xfId="0" applyNumberFormat="1" applyFont="1" applyBorder="1" applyAlignment="1">
      <alignment horizontal="center" vertical="center"/>
    </xf>
    <xf numFmtId="2" fontId="70" fillId="0" borderId="181" xfId="0" applyNumberFormat="1" applyFont="1" applyFill="1" applyBorder="1" applyAlignment="1">
      <alignment horizontal="center" vertical="center" wrapText="1"/>
    </xf>
    <xf numFmtId="10" fontId="53" fillId="5" borderId="125" xfId="6" applyNumberFormat="1" applyFont="1" applyFill="1" applyBorder="1" applyAlignment="1">
      <alignment horizontal="center" vertical="center"/>
    </xf>
    <xf numFmtId="10" fontId="50" fillId="0" borderId="181" xfId="6" applyNumberFormat="1" applyFont="1" applyFill="1" applyBorder="1" applyAlignment="1">
      <alignment horizontal="center" vertical="center"/>
    </xf>
    <xf numFmtId="0" fontId="70" fillId="0" borderId="31" xfId="0" applyFont="1" applyBorder="1" applyAlignment="1">
      <alignment horizontal="left" vertical="center" wrapText="1"/>
    </xf>
    <xf numFmtId="0" fontId="70" fillId="0" borderId="16" xfId="0" applyFont="1" applyBorder="1" applyAlignment="1">
      <alignment horizontal="left" vertical="center" wrapText="1"/>
    </xf>
    <xf numFmtId="49" fontId="208" fillId="5" borderId="120" xfId="0" applyNumberFormat="1" applyFont="1" applyFill="1" applyBorder="1" applyAlignment="1">
      <alignment horizontal="center" vertical="center"/>
    </xf>
    <xf numFmtId="0" fontId="213" fillId="0" borderId="37" xfId="0" applyFont="1" applyBorder="1" applyAlignment="1">
      <alignment horizontal="left" vertical="center" wrapText="1"/>
    </xf>
    <xf numFmtId="0" fontId="213" fillId="0" borderId="140" xfId="0" applyFont="1" applyBorder="1" applyAlignment="1">
      <alignment horizontal="left" vertical="center" wrapText="1"/>
    </xf>
    <xf numFmtId="0" fontId="208" fillId="0" borderId="0" xfId="0" applyFont="1" applyBorder="1" applyAlignment="1">
      <alignment horizontal="center"/>
    </xf>
    <xf numFmtId="10" fontId="126" fillId="5" borderId="179" xfId="263" applyNumberFormat="1" applyFont="1" applyFill="1" applyBorder="1" applyAlignment="1">
      <alignment horizontal="left" vertical="center"/>
    </xf>
    <xf numFmtId="10" fontId="126" fillId="5" borderId="196" xfId="263" applyNumberFormat="1" applyFont="1" applyFill="1" applyBorder="1" applyAlignment="1">
      <alignment horizontal="left" vertical="center"/>
    </xf>
    <xf numFmtId="10" fontId="126" fillId="5" borderId="50" xfId="263" applyNumberFormat="1" applyFont="1" applyFill="1" applyBorder="1" applyAlignment="1">
      <alignment horizontal="left" vertical="center"/>
    </xf>
    <xf numFmtId="10" fontId="126" fillId="5" borderId="7" xfId="263" applyNumberFormat="1" applyFont="1" applyFill="1" applyBorder="1" applyAlignment="1">
      <alignment horizontal="left" vertical="center"/>
    </xf>
    <xf numFmtId="10" fontId="126" fillId="0" borderId="96" xfId="413" applyNumberFormat="1" applyFont="1" applyBorder="1" applyAlignment="1">
      <alignment horizontal="left"/>
    </xf>
    <xf numFmtId="10" fontId="124" fillId="0" borderId="179" xfId="413" applyNumberFormat="1" applyFont="1" applyBorder="1" applyAlignment="1">
      <alignment horizontal="left" vertical="center"/>
    </xf>
    <xf numFmtId="167" fontId="50" fillId="0" borderId="208" xfId="1" applyNumberFormat="1" applyFont="1" applyBorder="1"/>
    <xf numFmtId="167" fontId="50" fillId="0" borderId="104" xfId="1" applyNumberFormat="1" applyFont="1" applyBorder="1"/>
    <xf numFmtId="167" fontId="50" fillId="0" borderId="184" xfId="1" applyNumberFormat="1" applyFont="1" applyBorder="1" applyAlignment="1">
      <alignment horizontal="right" vertical="center"/>
    </xf>
    <xf numFmtId="43" fontId="50" fillId="0" borderId="208" xfId="1" applyNumberFormat="1" applyFont="1" applyBorder="1" applyAlignment="1">
      <alignment horizontal="right" vertical="center"/>
    </xf>
    <xf numFmtId="43" fontId="50" fillId="0" borderId="104" xfId="1" applyNumberFormat="1" applyFont="1" applyFill="1" applyBorder="1" applyAlignment="1">
      <alignment horizontal="right" vertical="center"/>
    </xf>
    <xf numFmtId="17" fontId="208" fillId="4" borderId="14" xfId="0" applyNumberFormat="1" applyFont="1" applyFill="1" applyBorder="1" applyAlignment="1">
      <alignment horizontal="center" vertical="center"/>
    </xf>
    <xf numFmtId="17" fontId="208" fillId="4" borderId="13" xfId="0" applyNumberFormat="1" applyFont="1" applyFill="1" applyBorder="1" applyAlignment="1">
      <alignment horizontal="center" vertical="center"/>
    </xf>
    <xf numFmtId="17" fontId="208" fillId="4" borderId="12" xfId="0" applyNumberFormat="1" applyFont="1" applyFill="1" applyBorder="1" applyAlignment="1">
      <alignment horizontal="center" vertical="center"/>
    </xf>
    <xf numFmtId="17" fontId="52" fillId="0" borderId="195" xfId="2" applyNumberFormat="1" applyFont="1" applyBorder="1" applyAlignment="1">
      <alignment horizontal="center" vertical="center"/>
    </xf>
    <xf numFmtId="2" fontId="52" fillId="5" borderId="195" xfId="250" applyNumberFormat="1" applyFont="1" applyFill="1" applyBorder="1" applyAlignment="1">
      <alignment vertical="center"/>
    </xf>
    <xf numFmtId="0" fontId="208" fillId="0" borderId="0" xfId="0" applyFont="1" applyBorder="1" applyAlignment="1">
      <alignment horizontal="center"/>
    </xf>
    <xf numFmtId="1" fontId="69" fillId="0" borderId="7" xfId="2" applyNumberFormat="1" applyFont="1" applyBorder="1" applyAlignment="1">
      <alignment horizontal="center" vertical="center"/>
    </xf>
    <xf numFmtId="1" fontId="69" fillId="0" borderId="96" xfId="2" applyNumberFormat="1" applyFont="1" applyBorder="1" applyAlignment="1">
      <alignment horizontal="center" vertical="center"/>
    </xf>
    <xf numFmtId="1" fontId="69" fillId="0" borderId="50" xfId="2" applyNumberFormat="1" applyFont="1" applyBorder="1" applyAlignment="1">
      <alignment horizontal="center" vertical="center"/>
    </xf>
    <xf numFmtId="17" fontId="69" fillId="0" borderId="129" xfId="2" applyNumberFormat="1" applyFont="1" applyBorder="1" applyAlignment="1">
      <alignment horizontal="center" vertical="center"/>
    </xf>
    <xf numFmtId="3" fontId="50" fillId="0" borderId="192" xfId="0" applyNumberFormat="1" applyFont="1" applyBorder="1"/>
    <xf numFmtId="0" fontId="0" fillId="0" borderId="0" xfId="0"/>
    <xf numFmtId="0" fontId="50" fillId="0" borderId="0" xfId="0" applyFont="1"/>
    <xf numFmtId="0" fontId="50" fillId="0" borderId="0" xfId="0" applyFont="1" applyBorder="1"/>
    <xf numFmtId="0" fontId="52" fillId="0" borderId="0" xfId="2" applyFont="1"/>
    <xf numFmtId="0" fontId="52" fillId="0" borderId="0" xfId="2" applyFont="1" applyBorder="1"/>
    <xf numFmtId="164" fontId="52" fillId="0" borderId="0" xfId="4" applyFont="1"/>
    <xf numFmtId="2" fontId="52" fillId="0" borderId="0" xfId="2" applyNumberFormat="1" applyFont="1"/>
    <xf numFmtId="171" fontId="52" fillId="0" borderId="0" xfId="2" applyNumberFormat="1" applyFont="1"/>
    <xf numFmtId="0" fontId="58" fillId="0" borderId="0" xfId="7" applyFont="1" applyBorder="1"/>
    <xf numFmtId="3" fontId="50" fillId="0" borderId="0" xfId="0" applyNumberFormat="1" applyFont="1" applyBorder="1"/>
    <xf numFmtId="10" fontId="50" fillId="0" borderId="0" xfId="6" applyNumberFormat="1" applyFont="1" applyBorder="1"/>
    <xf numFmtId="167" fontId="50" fillId="0" borderId="6" xfId="1" applyNumberFormat="1" applyFont="1" applyBorder="1"/>
    <xf numFmtId="167" fontId="50" fillId="0" borderId="7" xfId="1" applyNumberFormat="1" applyFont="1" applyBorder="1"/>
    <xf numFmtId="167" fontId="50" fillId="0" borderId="0" xfId="0" applyNumberFormat="1" applyFont="1" applyBorder="1"/>
    <xf numFmtId="9" fontId="50" fillId="0" borderId="0" xfId="0" applyNumberFormat="1" applyFont="1"/>
    <xf numFmtId="3" fontId="70" fillId="0" borderId="0" xfId="0" applyNumberFormat="1" applyFont="1" applyBorder="1"/>
    <xf numFmtId="0" fontId="50" fillId="0" borderId="61" xfId="0" applyFont="1" applyBorder="1"/>
    <xf numFmtId="0" fontId="52" fillId="0" borderId="61" xfId="2" applyFont="1" applyBorder="1"/>
    <xf numFmtId="17" fontId="49" fillId="2" borderId="119" xfId="0" applyNumberFormat="1" applyFont="1" applyFill="1" applyBorder="1" applyAlignment="1">
      <alignment horizontal="center"/>
    </xf>
    <xf numFmtId="17" fontId="49" fillId="0" borderId="132" xfId="2" applyNumberFormat="1" applyFont="1" applyBorder="1"/>
    <xf numFmtId="43" fontId="49" fillId="0" borderId="109" xfId="1" applyFont="1" applyBorder="1" applyAlignment="1">
      <alignment horizontal="right" vertical="center" wrapText="1"/>
    </xf>
    <xf numFmtId="43" fontId="49" fillId="0" borderId="115" xfId="1" applyFont="1" applyBorder="1"/>
    <xf numFmtId="17" fontId="49" fillId="0" borderId="128" xfId="2" applyNumberFormat="1" applyFont="1" applyBorder="1"/>
    <xf numFmtId="43" fontId="49" fillId="0" borderId="10" xfId="1" applyFont="1" applyBorder="1" applyAlignment="1">
      <alignment horizontal="right" vertical="center" wrapText="1"/>
    </xf>
    <xf numFmtId="43" fontId="49" fillId="0" borderId="97" xfId="1" applyFont="1" applyBorder="1"/>
    <xf numFmtId="17" fontId="49" fillId="0" borderId="128" xfId="2" applyNumberFormat="1" applyFont="1" applyBorder="1" applyAlignment="1">
      <alignment vertical="center"/>
    </xf>
    <xf numFmtId="43" fontId="49" fillId="0" borderId="47" xfId="1" applyFont="1" applyBorder="1" applyAlignment="1">
      <alignment horizontal="right" vertical="center" wrapText="1"/>
    </xf>
    <xf numFmtId="43" fontId="49" fillId="0" borderId="97" xfId="1" applyFont="1" applyBorder="1" applyAlignment="1">
      <alignment vertical="center"/>
    </xf>
    <xf numFmtId="43" fontId="49" fillId="0" borderId="95" xfId="1" applyFont="1" applyBorder="1" applyAlignment="1">
      <alignment horizontal="right" vertical="center" wrapText="1"/>
    </xf>
    <xf numFmtId="43" fontId="49" fillId="0" borderId="114" xfId="1" applyFont="1" applyBorder="1" applyAlignment="1">
      <alignment vertical="center"/>
    </xf>
    <xf numFmtId="0" fontId="49" fillId="0" borderId="0" xfId="0" applyFont="1"/>
    <xf numFmtId="0" fontId="0" fillId="0" borderId="0" xfId="0" applyFill="1"/>
    <xf numFmtId="3" fontId="70" fillId="0" borderId="22" xfId="0" applyNumberFormat="1" applyFont="1" applyBorder="1" applyAlignment="1">
      <alignment horizontal="center"/>
    </xf>
    <xf numFmtId="0" fontId="50" fillId="0" borderId="6" xfId="0" applyFont="1" applyBorder="1"/>
    <xf numFmtId="0" fontId="0" fillId="0" borderId="0" xfId="0" applyFill="1" applyBorder="1"/>
    <xf numFmtId="17" fontId="49" fillId="0" borderId="132" xfId="2" applyNumberFormat="1" applyFont="1" applyBorder="1" applyAlignment="1">
      <alignment vertical="center"/>
    </xf>
    <xf numFmtId="43" fontId="49" fillId="0" borderId="115" xfId="1" applyFont="1" applyBorder="1" applyAlignment="1">
      <alignment vertical="center"/>
    </xf>
    <xf numFmtId="170" fontId="70" fillId="0" borderId="7" xfId="0" applyNumberFormat="1" applyFont="1" applyBorder="1" applyAlignment="1">
      <alignment vertical="center"/>
    </xf>
    <xf numFmtId="3" fontId="70" fillId="0" borderId="96" xfId="0" applyNumberFormat="1" applyFont="1" applyBorder="1" applyAlignment="1">
      <alignment horizontal="center" vertical="center"/>
    </xf>
    <xf numFmtId="43" fontId="49" fillId="0" borderId="0" xfId="1" applyNumberFormat="1" applyFont="1" applyBorder="1"/>
    <xf numFmtId="168" fontId="49" fillId="0" borderId="0" xfId="1" applyNumberFormat="1" applyFont="1" applyBorder="1"/>
    <xf numFmtId="17" fontId="49" fillId="0" borderId="145" xfId="2" applyNumberFormat="1" applyFont="1" applyBorder="1" applyAlignment="1">
      <alignment vertical="center"/>
    </xf>
    <xf numFmtId="0" fontId="50" fillId="0" borderId="49" xfId="0" applyFont="1" applyBorder="1"/>
    <xf numFmtId="17" fontId="49" fillId="0" borderId="120" xfId="2" applyNumberFormat="1" applyFont="1" applyBorder="1"/>
    <xf numFmtId="43" fontId="49" fillId="0" borderId="150" xfId="1" applyFont="1" applyBorder="1" applyAlignment="1">
      <alignment horizontal="right" vertical="center" wrapText="1"/>
    </xf>
    <xf numFmtId="43" fontId="49" fillId="0" borderId="194" xfId="1" applyFont="1" applyBorder="1"/>
    <xf numFmtId="43" fontId="49" fillId="0" borderId="98" xfId="1" applyFont="1" applyBorder="1"/>
    <xf numFmtId="10" fontId="50" fillId="0" borderId="0" xfId="0" applyNumberFormat="1" applyFont="1" applyBorder="1"/>
    <xf numFmtId="43" fontId="49" fillId="0" borderId="125" xfId="1" applyNumberFormat="1" applyFont="1" applyFill="1" applyBorder="1"/>
    <xf numFmtId="167" fontId="50" fillId="0" borderId="49" xfId="1" applyNumberFormat="1" applyFont="1" applyBorder="1"/>
    <xf numFmtId="17" fontId="49" fillId="0" borderId="129" xfId="2" applyNumberFormat="1" applyFont="1" applyBorder="1" applyAlignment="1">
      <alignment vertical="center"/>
    </xf>
    <xf numFmtId="0" fontId="50" fillId="0" borderId="22" xfId="0" applyFont="1" applyBorder="1"/>
    <xf numFmtId="43" fontId="49" fillId="0" borderId="22" xfId="1" applyFont="1" applyBorder="1" applyAlignment="1">
      <alignment vertical="center"/>
    </xf>
    <xf numFmtId="0" fontId="50" fillId="0" borderId="23" xfId="0" applyFont="1" applyBorder="1"/>
    <xf numFmtId="17" fontId="49" fillId="2" borderId="123" xfId="0" applyNumberFormat="1" applyFont="1" applyFill="1" applyBorder="1" applyAlignment="1">
      <alignment horizontal="center" vertical="center"/>
    </xf>
    <xf numFmtId="43" fontId="49" fillId="0" borderId="6" xfId="1" applyFont="1" applyBorder="1" applyAlignment="1">
      <alignment horizontal="right" vertical="center" wrapText="1"/>
    </xf>
    <xf numFmtId="43" fontId="49" fillId="0" borderId="49" xfId="1" applyFont="1" applyBorder="1" applyAlignment="1">
      <alignment horizontal="right" vertical="center" wrapText="1"/>
    </xf>
    <xf numFmtId="43" fontId="49" fillId="0" borderId="18" xfId="1" applyFont="1" applyBorder="1" applyAlignment="1">
      <alignment vertical="center"/>
    </xf>
    <xf numFmtId="17" fontId="49" fillId="0" borderId="23" xfId="2" applyNumberFormat="1" applyFont="1" applyBorder="1" applyAlignment="1">
      <alignment horizontal="center" vertical="center"/>
    </xf>
    <xf numFmtId="43" fontId="49" fillId="0" borderId="15" xfId="1" applyFont="1" applyBorder="1" applyAlignment="1">
      <alignment vertical="center"/>
    </xf>
    <xf numFmtId="17" fontId="49" fillId="0" borderId="120" xfId="2" applyNumberFormat="1" applyFont="1" applyBorder="1" applyAlignment="1">
      <alignment vertical="center"/>
    </xf>
    <xf numFmtId="43" fontId="49" fillId="0" borderId="194" xfId="1" applyFont="1" applyBorder="1" applyAlignment="1">
      <alignment vertical="center"/>
    </xf>
    <xf numFmtId="43" fontId="49" fillId="0" borderId="7" xfId="1" applyFont="1" applyBorder="1" applyAlignment="1">
      <alignment horizontal="right" vertical="center" wrapText="1"/>
    </xf>
    <xf numFmtId="43" fontId="49" fillId="0" borderId="96" xfId="1" applyFont="1" applyBorder="1" applyAlignment="1">
      <alignment vertical="center"/>
    </xf>
    <xf numFmtId="17" fontId="49" fillId="0" borderId="50" xfId="2" applyNumberFormat="1" applyFont="1" applyBorder="1" applyAlignment="1">
      <alignment horizontal="center" vertical="center"/>
    </xf>
    <xf numFmtId="17" fontId="49" fillId="2" borderId="23" xfId="0" applyNumberFormat="1" applyFont="1" applyFill="1" applyBorder="1" applyAlignment="1">
      <alignment horizontal="center"/>
    </xf>
    <xf numFmtId="17" fontId="49" fillId="2" borderId="50" xfId="0" applyNumberFormat="1" applyFont="1" applyFill="1" applyBorder="1" applyAlignment="1">
      <alignment horizontal="center"/>
    </xf>
    <xf numFmtId="167" fontId="50" fillId="73" borderId="22" xfId="1" applyNumberFormat="1" applyFont="1" applyFill="1" applyBorder="1"/>
    <xf numFmtId="10" fontId="50" fillId="6" borderId="22" xfId="6" applyNumberFormat="1" applyFont="1" applyFill="1" applyBorder="1"/>
    <xf numFmtId="10" fontId="50" fillId="6" borderId="7" xfId="6" applyNumberFormat="1" applyFont="1" applyFill="1" applyBorder="1"/>
    <xf numFmtId="0" fontId="50" fillId="0" borderId="50" xfId="0" applyFont="1" applyBorder="1"/>
    <xf numFmtId="0" fontId="50" fillId="0" borderId="7" xfId="0" applyFont="1" applyBorder="1"/>
    <xf numFmtId="0" fontId="50" fillId="0" borderId="96" xfId="0" applyFont="1" applyBorder="1"/>
    <xf numFmtId="0" fontId="50" fillId="0" borderId="18" xfId="0" applyFont="1" applyBorder="1"/>
    <xf numFmtId="0" fontId="50" fillId="0" borderId="20" xfId="0" applyFont="1" applyBorder="1"/>
    <xf numFmtId="167" fontId="53" fillId="0" borderId="6" xfId="1" applyNumberFormat="1" applyFont="1" applyFill="1" applyBorder="1" applyAlignment="1">
      <alignment vertical="center"/>
    </xf>
    <xf numFmtId="0" fontId="0" fillId="0" borderId="0" xfId="0"/>
    <xf numFmtId="0" fontId="52" fillId="0" borderId="0" xfId="2" applyFont="1"/>
    <xf numFmtId="0" fontId="52" fillId="0" borderId="0" xfId="2" applyFont="1" applyBorder="1"/>
    <xf numFmtId="17" fontId="177" fillId="0" borderId="23" xfId="0" applyNumberFormat="1" applyFont="1" applyBorder="1" applyAlignment="1">
      <alignment horizontal="left" vertical="center" wrapText="1"/>
    </xf>
    <xf numFmtId="17" fontId="49" fillId="2" borderId="244" xfId="0" applyNumberFormat="1" applyFont="1" applyFill="1" applyBorder="1" applyAlignment="1">
      <alignment horizontal="center" vertical="center"/>
    </xf>
    <xf numFmtId="17" fontId="49" fillId="2" borderId="246" xfId="0" applyNumberFormat="1" applyFont="1" applyFill="1" applyBorder="1" applyAlignment="1">
      <alignment horizontal="center"/>
    </xf>
    <xf numFmtId="17" fontId="51" fillId="2" borderId="181" xfId="0" applyNumberFormat="1" applyFont="1" applyFill="1" applyBorder="1" applyAlignment="1">
      <alignment horizontal="center" vertical="center" wrapText="1"/>
    </xf>
    <xf numFmtId="17" fontId="151" fillId="2" borderId="181" xfId="0" applyNumberFormat="1" applyFont="1" applyFill="1" applyBorder="1" applyAlignment="1">
      <alignment horizontal="center" vertical="center" wrapText="1"/>
    </xf>
    <xf numFmtId="43" fontId="49" fillId="0" borderId="0" xfId="1" applyNumberFormat="1" applyFont="1" applyFill="1" applyBorder="1"/>
    <xf numFmtId="0" fontId="50" fillId="0" borderId="23" xfId="0" applyFont="1" applyBorder="1"/>
    <xf numFmtId="167" fontId="115" fillId="0" borderId="41" xfId="1" applyNumberFormat="1" applyFont="1" applyBorder="1"/>
    <xf numFmtId="3" fontId="70" fillId="0" borderId="6" xfId="0" applyNumberFormat="1" applyFont="1" applyBorder="1" applyAlignment="1">
      <alignment vertical="center"/>
    </xf>
    <xf numFmtId="3" fontId="70" fillId="0" borderId="23" xfId="0" applyNumberFormat="1" applyFont="1" applyBorder="1" applyAlignment="1">
      <alignment vertical="center"/>
    </xf>
    <xf numFmtId="3" fontId="52" fillId="5" borderId="6" xfId="2" applyNumberFormat="1" applyFont="1" applyFill="1" applyBorder="1" applyAlignment="1">
      <alignment horizontal="center" vertical="center"/>
    </xf>
    <xf numFmtId="3" fontId="70" fillId="5" borderId="6" xfId="0" applyNumberFormat="1" applyFont="1" applyFill="1" applyBorder="1"/>
    <xf numFmtId="3" fontId="70" fillId="0" borderId="6" xfId="0" applyNumberFormat="1" applyFont="1" applyBorder="1"/>
    <xf numFmtId="167" fontId="53" fillId="0" borderId="6" xfId="1" applyNumberFormat="1" applyFont="1" applyFill="1" applyBorder="1" applyAlignment="1">
      <alignment vertical="center"/>
    </xf>
    <xf numFmtId="3" fontId="173" fillId="5" borderId="179" xfId="0" applyNumberFormat="1" applyFont="1" applyFill="1" applyBorder="1" applyAlignment="1">
      <alignment horizontal="right" vertical="center"/>
    </xf>
    <xf numFmtId="0" fontId="208" fillId="0" borderId="0" xfId="0" applyFont="1" applyBorder="1" applyAlignment="1">
      <alignment horizontal="center"/>
    </xf>
    <xf numFmtId="0" fontId="52" fillId="2" borderId="148" xfId="2" applyFont="1" applyFill="1" applyBorder="1" applyAlignment="1">
      <alignment horizontal="center" vertical="center" wrapText="1"/>
    </xf>
    <xf numFmtId="10" fontId="53" fillId="5" borderId="0" xfId="6" applyNumberFormat="1" applyFont="1" applyFill="1" applyBorder="1" applyAlignment="1">
      <alignment horizontal="center" vertical="center"/>
    </xf>
    <xf numFmtId="167" fontId="50" fillId="0" borderId="30" xfId="1" applyNumberFormat="1" applyFont="1" applyBorder="1"/>
    <xf numFmtId="173" fontId="50" fillId="2" borderId="247" xfId="6" applyNumberFormat="1" applyFont="1" applyFill="1" applyBorder="1" applyAlignment="1">
      <alignment horizontal="center"/>
    </xf>
    <xf numFmtId="173" fontId="50" fillId="2" borderId="245" xfId="6" applyNumberFormat="1" applyFont="1" applyFill="1" applyBorder="1" applyAlignment="1">
      <alignment horizontal="center" vertical="center"/>
    </xf>
    <xf numFmtId="17" fontId="121" fillId="0" borderId="148" xfId="0" applyNumberFormat="1" applyFont="1" applyBorder="1" applyAlignment="1">
      <alignment horizontal="center"/>
    </xf>
    <xf numFmtId="0" fontId="121" fillId="0" borderId="49" xfId="0" applyFont="1" applyBorder="1"/>
    <xf numFmtId="17" fontId="121" fillId="0" borderId="135" xfId="0" applyNumberFormat="1" applyFont="1" applyBorder="1" applyAlignment="1">
      <alignment horizontal="center"/>
    </xf>
    <xf numFmtId="17" fontId="121" fillId="0" borderId="192" xfId="0" applyNumberFormat="1" applyFont="1" applyBorder="1" applyAlignment="1">
      <alignment horizontal="center"/>
    </xf>
    <xf numFmtId="0" fontId="121" fillId="0" borderId="21" xfId="0" applyFont="1" applyBorder="1"/>
    <xf numFmtId="3" fontId="52" fillId="0" borderId="96" xfId="2" applyNumberFormat="1" applyFont="1" applyBorder="1" applyAlignment="1">
      <alignment horizontal="center" vertical="center"/>
    </xf>
    <xf numFmtId="3" fontId="52" fillId="5" borderId="7" xfId="2" applyNumberFormat="1" applyFont="1" applyFill="1" applyBorder="1" applyAlignment="1">
      <alignment horizontal="center" vertical="center"/>
    </xf>
    <xf numFmtId="3" fontId="52" fillId="5" borderId="96" xfId="2" applyNumberFormat="1" applyFont="1" applyFill="1" applyBorder="1" applyAlignment="1">
      <alignment horizontal="center" vertical="center"/>
    </xf>
    <xf numFmtId="3" fontId="70" fillId="5" borderId="7" xfId="0" applyNumberFormat="1" applyFont="1" applyFill="1" applyBorder="1"/>
    <xf numFmtId="3" fontId="50" fillId="0" borderId="96" xfId="0" applyNumberFormat="1" applyFont="1" applyBorder="1"/>
    <xf numFmtId="43" fontId="53" fillId="0" borderId="0" xfId="1" applyFont="1" applyFill="1" applyBorder="1" applyAlignment="1">
      <alignment vertical="center"/>
    </xf>
    <xf numFmtId="43" fontId="53" fillId="0" borderId="0" xfId="1" applyFont="1" applyFill="1" applyBorder="1" applyAlignment="1">
      <alignment horizontal="center" vertical="center"/>
    </xf>
    <xf numFmtId="10" fontId="53" fillId="0" borderId="0" xfId="6" applyNumberFormat="1" applyFont="1" applyBorder="1" applyAlignment="1">
      <alignment horizontal="center" vertical="center"/>
    </xf>
    <xf numFmtId="9" fontId="53" fillId="5" borderId="0" xfId="6" applyNumberFormat="1" applyFont="1" applyFill="1" applyBorder="1" applyAlignment="1">
      <alignment horizontal="center" vertical="center"/>
    </xf>
    <xf numFmtId="43" fontId="53" fillId="0" borderId="103" xfId="1" applyFont="1" applyBorder="1" applyAlignment="1">
      <alignment horizontal="center" vertical="center"/>
    </xf>
    <xf numFmtId="9" fontId="53" fillId="0" borderId="0" xfId="6" applyNumberFormat="1" applyFont="1" applyBorder="1" applyAlignment="1">
      <alignment horizontal="center" vertical="center"/>
    </xf>
    <xf numFmtId="43" fontId="53" fillId="0" borderId="25" xfId="1" applyFont="1" applyFill="1" applyBorder="1" applyAlignment="1">
      <alignment horizontal="center" vertical="center"/>
    </xf>
    <xf numFmtId="10" fontId="207" fillId="0" borderId="25" xfId="6" applyNumberFormat="1" applyFont="1" applyFill="1" applyBorder="1" applyAlignment="1">
      <alignment horizontal="center" vertical="center"/>
    </xf>
    <xf numFmtId="43" fontId="53" fillId="0" borderId="149" xfId="1" applyFont="1" applyBorder="1" applyAlignment="1">
      <alignment horizontal="center" vertical="center"/>
    </xf>
    <xf numFmtId="0" fontId="157" fillId="0" borderId="123" xfId="0" applyFont="1" applyBorder="1" applyAlignment="1">
      <alignment horizontal="left" vertical="top" wrapText="1"/>
    </xf>
    <xf numFmtId="0" fontId="157" fillId="0" borderId="0" xfId="0" applyFont="1" applyBorder="1" applyAlignment="1">
      <alignment horizontal="left" vertical="top" wrapText="1"/>
    </xf>
    <xf numFmtId="3" fontId="60" fillId="0" borderId="6" xfId="2" applyNumberFormat="1" applyFont="1" applyBorder="1" applyAlignment="1">
      <alignment vertical="center"/>
    </xf>
    <xf numFmtId="3" fontId="60" fillId="0" borderId="6" xfId="2" applyNumberFormat="1" applyFont="1" applyFill="1" applyBorder="1" applyAlignment="1">
      <alignment vertical="center"/>
    </xf>
    <xf numFmtId="3" fontId="60" fillId="5" borderId="6" xfId="2" applyNumberFormat="1" applyFont="1" applyFill="1" applyBorder="1" applyAlignment="1">
      <alignment vertical="center"/>
    </xf>
    <xf numFmtId="0" fontId="60" fillId="0" borderId="6" xfId="2" applyFont="1" applyBorder="1"/>
    <xf numFmtId="0" fontId="208" fillId="0" borderId="0" xfId="0" applyFont="1" applyBorder="1" applyAlignment="1">
      <alignment horizontal="center"/>
    </xf>
    <xf numFmtId="17" fontId="144" fillId="2" borderId="17" xfId="283" applyNumberFormat="1" applyFont="1" applyFill="1" applyBorder="1" applyAlignment="1">
      <alignment horizontal="center"/>
    </xf>
    <xf numFmtId="0" fontId="9" fillId="0" borderId="120" xfId="357" applyFont="1" applyBorder="1"/>
    <xf numFmtId="0" fontId="9" fillId="0" borderId="121" xfId="357" applyFont="1" applyBorder="1"/>
    <xf numFmtId="0" fontId="9" fillId="0" borderId="122" xfId="357" applyFont="1" applyBorder="1"/>
    <xf numFmtId="0" fontId="115" fillId="2" borderId="18" xfId="2" applyFont="1" applyFill="1" applyBorder="1" applyAlignment="1">
      <alignment horizontal="center" vertical="center" wrapText="1"/>
    </xf>
    <xf numFmtId="2" fontId="52" fillId="0" borderId="143" xfId="250" applyNumberFormat="1" applyFont="1" applyBorder="1" applyAlignment="1">
      <alignment vertical="center"/>
    </xf>
    <xf numFmtId="2" fontId="52" fillId="0" borderId="8" xfId="250" applyNumberFormat="1" applyFont="1" applyBorder="1" applyAlignment="1">
      <alignment vertical="center"/>
    </xf>
    <xf numFmtId="2" fontId="52" fillId="0" borderId="37" xfId="250" applyNumberFormat="1" applyFont="1" applyBorder="1" applyAlignment="1">
      <alignment vertical="center"/>
    </xf>
    <xf numFmtId="0" fontId="52" fillId="2" borderId="195" xfId="2" applyFont="1" applyFill="1" applyBorder="1" applyAlignment="1">
      <alignment horizontal="center" vertical="center"/>
    </xf>
    <xf numFmtId="0" fontId="52" fillId="2" borderId="125" xfId="2" applyFont="1" applyFill="1" applyBorder="1" applyAlignment="1">
      <alignment horizontal="center" vertical="center"/>
    </xf>
    <xf numFmtId="17" fontId="52" fillId="2" borderId="193" xfId="2" applyNumberFormat="1" applyFont="1" applyFill="1" applyBorder="1" applyAlignment="1">
      <alignment horizontal="center" vertical="center"/>
    </xf>
    <xf numFmtId="17" fontId="52" fillId="0" borderId="148" xfId="2" applyNumberFormat="1" applyFont="1" applyBorder="1" applyAlignment="1">
      <alignment vertical="center"/>
    </xf>
    <xf numFmtId="17" fontId="52" fillId="0" borderId="135" xfId="2" applyNumberFormat="1" applyFont="1" applyBorder="1" applyAlignment="1">
      <alignment vertical="center"/>
    </xf>
    <xf numFmtId="17" fontId="52" fillId="0" borderId="179" xfId="2" applyNumberFormat="1" applyFont="1" applyBorder="1" applyAlignment="1">
      <alignment vertical="center"/>
    </xf>
    <xf numFmtId="2" fontId="68" fillId="0" borderId="8" xfId="250" applyNumberFormat="1" applyFont="1" applyFill="1" applyBorder="1" applyAlignment="1">
      <alignment vertical="center"/>
    </xf>
    <xf numFmtId="2" fontId="52" fillId="0" borderId="143" xfId="250" applyNumberFormat="1" applyFont="1" applyFill="1" applyBorder="1" applyAlignment="1">
      <alignment vertical="center"/>
    </xf>
    <xf numFmtId="2" fontId="52" fillId="0" borderId="37" xfId="250" applyNumberFormat="1" applyFont="1" applyFill="1" applyBorder="1" applyAlignment="1">
      <alignment vertical="center"/>
    </xf>
    <xf numFmtId="2" fontId="52" fillId="0" borderId="8" xfId="250" applyNumberFormat="1" applyFont="1" applyFill="1" applyBorder="1" applyAlignment="1">
      <alignment vertical="center"/>
    </xf>
    <xf numFmtId="2" fontId="52" fillId="5" borderId="8" xfId="250" applyNumberFormat="1" applyFont="1" applyFill="1" applyBorder="1" applyAlignment="1">
      <alignment vertical="center"/>
    </xf>
    <xf numFmtId="2" fontId="52" fillId="5" borderId="121" xfId="250" applyNumberFormat="1" applyFont="1" applyFill="1" applyBorder="1" applyAlignment="1">
      <alignment vertical="center"/>
    </xf>
    <xf numFmtId="2" fontId="52" fillId="5" borderId="143" xfId="250" applyNumberFormat="1" applyFont="1" applyFill="1" applyBorder="1" applyAlignment="1">
      <alignment vertical="center"/>
    </xf>
    <xf numFmtId="2" fontId="52" fillId="5" borderId="37" xfId="250" applyNumberFormat="1" applyFont="1" applyFill="1" applyBorder="1" applyAlignment="1">
      <alignment vertical="center"/>
    </xf>
    <xf numFmtId="2" fontId="52" fillId="5" borderId="86" xfId="250" applyNumberFormat="1" applyFont="1" applyFill="1" applyBorder="1" applyAlignment="1">
      <alignment vertical="center"/>
    </xf>
    <xf numFmtId="2" fontId="52" fillId="0" borderId="192" xfId="250" applyNumberFormat="1" applyFont="1" applyBorder="1" applyAlignment="1">
      <alignment vertical="center"/>
    </xf>
    <xf numFmtId="17" fontId="49" fillId="0" borderId="17" xfId="2" applyNumberFormat="1" applyFont="1" applyBorder="1" applyAlignment="1">
      <alignment horizontal="center" vertical="center"/>
    </xf>
    <xf numFmtId="0" fontId="207" fillId="4" borderId="121" xfId="2" applyFont="1" applyFill="1" applyBorder="1" applyAlignment="1">
      <alignment horizontal="center" vertical="center" shrinkToFit="1"/>
    </xf>
    <xf numFmtId="0" fontId="207" fillId="4" borderId="122" xfId="2" applyFont="1" applyFill="1" applyBorder="1" applyAlignment="1">
      <alignment horizontal="center" vertical="center" shrinkToFit="1"/>
    </xf>
    <xf numFmtId="3" fontId="175" fillId="5" borderId="27" xfId="0" applyNumberFormat="1" applyFont="1" applyFill="1" applyBorder="1" applyAlignment="1">
      <alignment horizontal="right" vertical="center" wrapText="1"/>
    </xf>
    <xf numFmtId="43" fontId="49" fillId="0" borderId="0" xfId="1" applyNumberFormat="1" applyFont="1" applyFill="1" applyBorder="1"/>
    <xf numFmtId="167" fontId="50" fillId="0" borderId="6" xfId="1" applyNumberFormat="1" applyFont="1" applyBorder="1"/>
    <xf numFmtId="167" fontId="50" fillId="66" borderId="125" xfId="1" applyNumberFormat="1" applyFont="1" applyFill="1" applyBorder="1"/>
    <xf numFmtId="43" fontId="49" fillId="0" borderId="125" xfId="1" applyNumberFormat="1" applyFont="1" applyFill="1" applyBorder="1"/>
    <xf numFmtId="10" fontId="50" fillId="6" borderId="22" xfId="6" applyNumberFormat="1" applyFont="1" applyFill="1" applyBorder="1"/>
    <xf numFmtId="10" fontId="50" fillId="6" borderId="7" xfId="6" applyNumberFormat="1" applyFont="1" applyFill="1" applyBorder="1"/>
    <xf numFmtId="0" fontId="250" fillId="0" borderId="6" xfId="0" applyFont="1" applyFill="1" applyBorder="1" applyAlignment="1">
      <alignment horizontal="center" vertical="center"/>
    </xf>
    <xf numFmtId="3" fontId="250" fillId="0" borderId="6" xfId="0" applyNumberFormat="1" applyFont="1" applyFill="1" applyBorder="1" applyAlignment="1">
      <alignment horizontal="center" vertical="center"/>
    </xf>
    <xf numFmtId="0" fontId="50" fillId="0" borderId="21" xfId="0" applyFont="1" applyBorder="1"/>
    <xf numFmtId="0" fontId="50" fillId="0" borderId="15" xfId="0" applyFont="1" applyBorder="1"/>
    <xf numFmtId="0" fontId="50" fillId="0" borderId="17" xfId="0" applyFont="1" applyBorder="1"/>
    <xf numFmtId="167" fontId="50" fillId="0" borderId="21" xfId="1" applyNumberFormat="1" applyFont="1" applyBorder="1"/>
    <xf numFmtId="43" fontId="53" fillId="5" borderId="6" xfId="0" applyNumberFormat="1" applyFont="1" applyFill="1" applyBorder="1" applyAlignment="1">
      <alignment vertical="center"/>
    </xf>
    <xf numFmtId="171" fontId="50" fillId="0" borderId="6" xfId="0" applyNumberFormat="1" applyFont="1" applyBorder="1" applyAlignment="1">
      <alignment horizontal="center" vertical="center"/>
    </xf>
    <xf numFmtId="170" fontId="53" fillId="0" borderId="6" xfId="0" applyNumberFormat="1" applyFont="1" applyBorder="1" applyAlignment="1">
      <alignment vertical="center"/>
    </xf>
    <xf numFmtId="3" fontId="53" fillId="0" borderId="22" xfId="0" applyNumberFormat="1" applyFont="1" applyBorder="1" applyAlignment="1">
      <alignment horizontal="center" vertical="center"/>
    </xf>
    <xf numFmtId="180" fontId="125" fillId="0" borderId="6" xfId="2495" applyNumberFormat="1" applyFont="1" applyBorder="1"/>
    <xf numFmtId="10" fontId="125" fillId="0" borderId="6" xfId="6" applyNumberFormat="1" applyFont="1" applyBorder="1"/>
    <xf numFmtId="180" fontId="125" fillId="5" borderId="6" xfId="2495" applyNumberFormat="1" applyFont="1" applyFill="1" applyBorder="1"/>
    <xf numFmtId="0" fontId="169" fillId="5" borderId="6" xfId="0" applyFont="1" applyFill="1" applyBorder="1" applyAlignment="1">
      <alignment horizontal="center"/>
    </xf>
    <xf numFmtId="167" fontId="50" fillId="73" borderId="22" xfId="1" applyNumberFormat="1" applyFont="1" applyFill="1" applyBorder="1"/>
    <xf numFmtId="3" fontId="91" fillId="0" borderId="6" xfId="2648" applyNumberFormat="1" applyFont="1" applyBorder="1" applyAlignment="1">
      <alignment horizontal="center" vertical="center"/>
    </xf>
    <xf numFmtId="0" fontId="50" fillId="0" borderId="6" xfId="0" applyFont="1" applyFill="1" applyBorder="1"/>
    <xf numFmtId="3" fontId="70" fillId="0" borderId="6" xfId="0" applyNumberFormat="1" applyFont="1" applyFill="1" applyBorder="1" applyAlignment="1">
      <alignment vertical="center"/>
    </xf>
    <xf numFmtId="0" fontId="50" fillId="0" borderId="6" xfId="0" applyFont="1" applyFill="1" applyBorder="1" applyAlignment="1">
      <alignment horizontal="center"/>
    </xf>
    <xf numFmtId="0" fontId="206" fillId="96" borderId="6" xfId="0" applyFont="1" applyFill="1" applyBorder="1" applyAlignment="1">
      <alignment horizontal="center"/>
    </xf>
    <xf numFmtId="3" fontId="249" fillId="0" borderId="6" xfId="0" applyNumberFormat="1" applyFont="1" applyBorder="1" applyAlignment="1">
      <alignment horizontal="center"/>
    </xf>
    <xf numFmtId="0" fontId="0" fillId="0" borderId="0" xfId="0"/>
    <xf numFmtId="0" fontId="192" fillId="0" borderId="0" xfId="0" applyFont="1" applyBorder="1" applyAlignment="1">
      <alignment horizontal="left" wrapText="1"/>
    </xf>
    <xf numFmtId="0" fontId="207" fillId="4" borderId="120" xfId="2" applyFont="1" applyFill="1" applyBorder="1" applyAlignment="1">
      <alignment horizontal="center" vertical="center" shrinkToFit="1"/>
    </xf>
    <xf numFmtId="17" fontId="208" fillId="4" borderId="148" xfId="0" applyNumberFormat="1" applyFont="1" applyFill="1" applyBorder="1" applyAlignment="1">
      <alignment horizontal="center" vertical="center" wrapText="1"/>
    </xf>
    <xf numFmtId="17" fontId="208" fillId="4" borderId="144" xfId="0" applyNumberFormat="1" applyFont="1" applyFill="1" applyBorder="1" applyAlignment="1">
      <alignment horizontal="center" vertical="center" wrapText="1"/>
    </xf>
    <xf numFmtId="0" fontId="208" fillId="77" borderId="113" xfId="0" applyFont="1" applyFill="1" applyBorder="1" applyAlignment="1">
      <alignment horizontal="center" vertical="center" wrapText="1"/>
    </xf>
    <xf numFmtId="0" fontId="208" fillId="77" borderId="144" xfId="0" applyFont="1" applyFill="1" applyBorder="1" applyAlignment="1">
      <alignment horizontal="center" vertical="center" wrapText="1"/>
    </xf>
    <xf numFmtId="0" fontId="208" fillId="77" borderId="31" xfId="0" applyFont="1" applyFill="1" applyBorder="1" applyAlignment="1">
      <alignment horizontal="center" vertical="center" wrapText="1"/>
    </xf>
    <xf numFmtId="0" fontId="211" fillId="0" borderId="183" xfId="2" applyFont="1" applyFill="1" applyBorder="1" applyAlignment="1">
      <alignment horizontal="center" vertical="center" wrapText="1"/>
    </xf>
    <xf numFmtId="0" fontId="211" fillId="0" borderId="130" xfId="2" applyFont="1" applyFill="1" applyBorder="1" applyAlignment="1">
      <alignment horizontal="center" vertical="center" wrapText="1"/>
    </xf>
    <xf numFmtId="0" fontId="211" fillId="0" borderId="191" xfId="2" applyFont="1" applyFill="1" applyBorder="1" applyAlignment="1">
      <alignment horizontal="center" vertical="center" wrapText="1"/>
    </xf>
    <xf numFmtId="49" fontId="208" fillId="5" borderId="195" xfId="0" applyNumberFormat="1" applyFont="1" applyFill="1" applyBorder="1" applyAlignment="1">
      <alignment horizontal="center" vertical="center"/>
    </xf>
    <xf numFmtId="49" fontId="208" fillId="5" borderId="125" xfId="0" applyNumberFormat="1" applyFont="1" applyFill="1" applyBorder="1" applyAlignment="1">
      <alignment horizontal="center" vertical="center"/>
    </xf>
    <xf numFmtId="49" fontId="208" fillId="5" borderId="193" xfId="0" applyNumberFormat="1" applyFont="1" applyFill="1" applyBorder="1" applyAlignment="1">
      <alignment horizontal="center" vertical="center"/>
    </xf>
    <xf numFmtId="0" fontId="210" fillId="5" borderId="188" xfId="2" applyFont="1" applyFill="1" applyBorder="1" applyAlignment="1">
      <alignment horizontal="left" vertical="center" wrapText="1"/>
    </xf>
    <xf numFmtId="0" fontId="210" fillId="5" borderId="135" xfId="2" applyFont="1" applyFill="1" applyBorder="1" applyAlignment="1">
      <alignment horizontal="left" vertical="center" wrapText="1"/>
    </xf>
    <xf numFmtId="0" fontId="210" fillId="5" borderId="179" xfId="2" applyFont="1" applyFill="1" applyBorder="1" applyAlignment="1">
      <alignment horizontal="left" vertical="center" wrapText="1"/>
    </xf>
    <xf numFmtId="0" fontId="211" fillId="0" borderId="34" xfId="2" applyFont="1" applyFill="1" applyBorder="1" applyAlignment="1">
      <alignment horizontal="left" vertical="center" wrapText="1"/>
    </xf>
    <xf numFmtId="0" fontId="211" fillId="0" borderId="31" xfId="2" applyFont="1" applyFill="1" applyBorder="1" applyAlignment="1">
      <alignment horizontal="left" vertical="center" wrapText="1"/>
    </xf>
    <xf numFmtId="0" fontId="211" fillId="0" borderId="32" xfId="2" applyFont="1" applyFill="1" applyBorder="1" applyAlignment="1">
      <alignment horizontal="left" vertical="center" wrapText="1"/>
    </xf>
    <xf numFmtId="0" fontId="211" fillId="0" borderId="5" xfId="2" applyFont="1" applyFill="1" applyBorder="1" applyAlignment="1">
      <alignment horizontal="left" vertical="center" wrapText="1"/>
    </xf>
    <xf numFmtId="0" fontId="211" fillId="0" borderId="6" xfId="2" applyFont="1" applyFill="1" applyBorder="1" applyAlignment="1">
      <alignment horizontal="left" vertical="center" wrapText="1"/>
    </xf>
    <xf numFmtId="0" fontId="211" fillId="0" borderId="7" xfId="2" applyFont="1" applyFill="1" applyBorder="1" applyAlignment="1">
      <alignment horizontal="left" vertical="center" wrapText="1"/>
    </xf>
    <xf numFmtId="0" fontId="211" fillId="0" borderId="5" xfId="2" applyFont="1" applyFill="1" applyBorder="1" applyAlignment="1">
      <alignment horizontal="center" vertical="center" wrapText="1"/>
    </xf>
    <xf numFmtId="0" fontId="211" fillId="0" borderId="6" xfId="2" applyFont="1" applyFill="1" applyBorder="1" applyAlignment="1">
      <alignment horizontal="center" vertical="center" wrapText="1"/>
    </xf>
    <xf numFmtId="0" fontId="211" fillId="0" borderId="7" xfId="2" applyFont="1" applyFill="1" applyBorder="1" applyAlignment="1">
      <alignment horizontal="center" vertical="center" wrapText="1"/>
    </xf>
    <xf numFmtId="0" fontId="211" fillId="0" borderId="28" xfId="2" applyFont="1" applyFill="1" applyBorder="1" applyAlignment="1">
      <alignment horizontal="center" vertical="center" wrapText="1"/>
    </xf>
    <xf numFmtId="0" fontId="211" fillId="0" borderId="35" xfId="2" applyFont="1" applyFill="1" applyBorder="1" applyAlignment="1">
      <alignment horizontal="center" vertical="center" wrapText="1"/>
    </xf>
    <xf numFmtId="0" fontId="211" fillId="0" borderId="27" xfId="2" applyFont="1" applyFill="1" applyBorder="1" applyAlignment="1">
      <alignment horizontal="center" vertical="center" wrapText="1"/>
    </xf>
    <xf numFmtId="0" fontId="53" fillId="0" borderId="154" xfId="2" applyFont="1" applyFill="1" applyBorder="1" applyAlignment="1">
      <alignment horizontal="center" vertical="center" wrapText="1"/>
    </xf>
    <xf numFmtId="0" fontId="53" fillId="0" borderId="87" xfId="2" applyFont="1" applyFill="1" applyBorder="1" applyAlignment="1">
      <alignment horizontal="center" vertical="center" wrapText="1"/>
    </xf>
    <xf numFmtId="49" fontId="207" fillId="5" borderId="195" xfId="0" applyNumberFormat="1" applyFont="1" applyFill="1" applyBorder="1" applyAlignment="1">
      <alignment horizontal="center" vertical="center"/>
    </xf>
    <xf numFmtId="49" fontId="207" fillId="5" borderId="193" xfId="0" applyNumberFormat="1" applyFont="1" applyFill="1" applyBorder="1" applyAlignment="1">
      <alignment horizontal="center" vertical="center"/>
    </xf>
    <xf numFmtId="0" fontId="207" fillId="5" borderId="148" xfId="2" applyFont="1" applyFill="1" applyBorder="1" applyAlignment="1">
      <alignment horizontal="left" vertical="center" wrapText="1"/>
    </xf>
    <xf numFmtId="0" fontId="207" fillId="5" borderId="192" xfId="2" applyFont="1" applyFill="1" applyBorder="1" applyAlignment="1">
      <alignment horizontal="left" vertical="center" wrapText="1"/>
    </xf>
    <xf numFmtId="0" fontId="53" fillId="0" borderId="19" xfId="2" applyFont="1" applyFill="1" applyBorder="1" applyAlignment="1">
      <alignment horizontal="left" vertical="center" wrapText="1"/>
    </xf>
    <xf numFmtId="0" fontId="53" fillId="0" borderId="16" xfId="2" applyFont="1" applyFill="1" applyBorder="1" applyAlignment="1">
      <alignment horizontal="left" vertical="center" wrapText="1"/>
    </xf>
    <xf numFmtId="0" fontId="53" fillId="0" borderId="49" xfId="2" applyFont="1" applyFill="1" applyBorder="1" applyAlignment="1">
      <alignment horizontal="left" vertical="center" wrapText="1"/>
    </xf>
    <xf numFmtId="0" fontId="53" fillId="0" borderId="21" xfId="2" applyFont="1" applyFill="1" applyBorder="1" applyAlignment="1">
      <alignment horizontal="left" vertical="center" wrapText="1"/>
    </xf>
    <xf numFmtId="0" fontId="53" fillId="0" borderId="49" xfId="2" applyFont="1" applyFill="1" applyBorder="1" applyAlignment="1">
      <alignment horizontal="center" vertical="center" wrapText="1"/>
    </xf>
    <xf numFmtId="0" fontId="53" fillId="0" borderId="21" xfId="2" applyFont="1" applyFill="1" applyBorder="1" applyAlignment="1">
      <alignment horizontal="center" vertical="center" wrapText="1"/>
    </xf>
    <xf numFmtId="0" fontId="53" fillId="0" borderId="139" xfId="2" applyFont="1" applyFill="1" applyBorder="1" applyAlignment="1">
      <alignment horizontal="center" vertical="center" wrapText="1"/>
    </xf>
    <xf numFmtId="0" fontId="53" fillId="0" borderId="130" xfId="2" applyFont="1" applyFill="1" applyBorder="1" applyAlignment="1">
      <alignment horizontal="center" vertical="center" wrapText="1"/>
    </xf>
    <xf numFmtId="0" fontId="53" fillId="0" borderId="191" xfId="2" applyFont="1" applyFill="1" applyBorder="1" applyAlignment="1">
      <alignment horizontal="center" vertical="center" wrapText="1"/>
    </xf>
    <xf numFmtId="0" fontId="210" fillId="5" borderId="192" xfId="2" applyFont="1" applyFill="1" applyBorder="1" applyAlignment="1">
      <alignment horizontal="left" vertical="center" wrapText="1"/>
    </xf>
    <xf numFmtId="0" fontId="211" fillId="0" borderId="16" xfId="2" applyFont="1" applyFill="1" applyBorder="1" applyAlignment="1">
      <alignment horizontal="left" vertical="center" wrapText="1"/>
    </xf>
    <xf numFmtId="0" fontId="70" fillId="0" borderId="5" xfId="0" applyFont="1" applyBorder="1" applyAlignment="1">
      <alignment horizontal="left" vertical="center" wrapText="1"/>
    </xf>
    <xf numFmtId="0" fontId="70" fillId="0" borderId="6" xfId="0" applyFont="1" applyBorder="1" applyAlignment="1">
      <alignment horizontal="left" vertical="center" wrapText="1"/>
    </xf>
    <xf numFmtId="0" fontId="70" fillId="0" borderId="21" xfId="0" applyFont="1" applyBorder="1" applyAlignment="1">
      <alignment horizontal="left" vertical="center" wrapText="1"/>
    </xf>
    <xf numFmtId="0" fontId="53" fillId="0" borderId="5" xfId="2" applyFont="1" applyFill="1" applyBorder="1" applyAlignment="1">
      <alignment horizontal="center" vertical="center" wrapText="1"/>
    </xf>
    <xf numFmtId="0" fontId="53" fillId="0" borderId="6" xfId="2" applyFont="1" applyFill="1" applyBorder="1" applyAlignment="1">
      <alignment horizontal="center" vertical="center" wrapText="1"/>
    </xf>
    <xf numFmtId="0" fontId="211" fillId="0" borderId="87" xfId="2" applyFont="1" applyFill="1" applyBorder="1" applyAlignment="1">
      <alignment horizontal="center" vertical="center" wrapText="1"/>
    </xf>
    <xf numFmtId="0" fontId="53" fillId="0" borderId="183" xfId="2" applyFont="1" applyFill="1" applyBorder="1" applyAlignment="1">
      <alignment horizontal="center" vertical="center" wrapText="1"/>
    </xf>
    <xf numFmtId="0" fontId="53" fillId="0" borderId="152" xfId="2" applyFont="1" applyFill="1" applyBorder="1" applyAlignment="1">
      <alignment horizontal="center" vertical="center" wrapText="1"/>
    </xf>
    <xf numFmtId="0" fontId="210" fillId="5" borderId="148" xfId="2" applyFont="1" applyFill="1" applyBorder="1" applyAlignment="1">
      <alignment horizontal="left" vertical="center" wrapText="1"/>
    </xf>
    <xf numFmtId="0" fontId="211" fillId="0" borderId="19" xfId="2" applyFont="1" applyFill="1" applyBorder="1" applyAlignment="1">
      <alignment horizontal="left" vertical="center" wrapText="1"/>
    </xf>
    <xf numFmtId="0" fontId="211" fillId="0" borderId="49" xfId="2" applyFont="1" applyFill="1" applyBorder="1" applyAlignment="1">
      <alignment horizontal="left" vertical="center" wrapText="1"/>
    </xf>
    <xf numFmtId="0" fontId="53" fillId="0" borderId="7" xfId="2" applyFont="1" applyFill="1" applyBorder="1" applyAlignment="1">
      <alignment horizontal="center" vertical="center" wrapText="1"/>
    </xf>
    <xf numFmtId="0" fontId="211" fillId="0" borderId="154" xfId="2" applyFont="1" applyFill="1" applyBorder="1" applyAlignment="1">
      <alignment horizontal="center" vertical="center" wrapText="1"/>
    </xf>
    <xf numFmtId="0" fontId="70" fillId="0" borderId="139" xfId="2" applyFont="1" applyFill="1" applyBorder="1" applyAlignment="1">
      <alignment horizontal="center" vertical="center" wrapText="1"/>
    </xf>
    <xf numFmtId="0" fontId="70" fillId="0" borderId="130" xfId="2" applyFont="1" applyFill="1" applyBorder="1" applyAlignment="1">
      <alignment horizontal="center" vertical="center" wrapText="1"/>
    </xf>
    <xf numFmtId="0" fontId="70" fillId="0" borderId="152" xfId="2" applyFont="1" applyFill="1" applyBorder="1" applyAlignment="1">
      <alignment horizontal="center" vertical="center" wrapText="1"/>
    </xf>
    <xf numFmtId="0" fontId="53" fillId="0" borderId="34" xfId="2" applyFont="1" applyFill="1" applyBorder="1" applyAlignment="1">
      <alignment horizontal="left" vertical="center" wrapText="1"/>
    </xf>
    <xf numFmtId="0" fontId="53" fillId="0" borderId="31" xfId="2" applyFont="1" applyFill="1" applyBorder="1" applyAlignment="1">
      <alignment horizontal="left" vertical="center" wrapText="1"/>
    </xf>
    <xf numFmtId="0" fontId="53" fillId="0" borderId="32" xfId="2" applyFont="1" applyFill="1" applyBorder="1" applyAlignment="1">
      <alignment horizontal="left" vertical="center" wrapText="1"/>
    </xf>
    <xf numFmtId="0" fontId="53" fillId="0" borderId="5" xfId="2" applyFont="1" applyFill="1" applyBorder="1" applyAlignment="1">
      <alignment horizontal="left" vertical="center" wrapText="1"/>
    </xf>
    <xf numFmtId="0" fontId="53" fillId="0" borderId="6" xfId="2" applyFont="1" applyFill="1" applyBorder="1" applyAlignment="1">
      <alignment horizontal="left" vertical="center" wrapText="1"/>
    </xf>
    <xf numFmtId="0" fontId="53" fillId="0" borderId="7" xfId="2" applyFont="1" applyFill="1" applyBorder="1" applyAlignment="1">
      <alignment horizontal="left" vertical="center" wrapText="1"/>
    </xf>
    <xf numFmtId="49" fontId="208" fillId="5" borderId="139" xfId="0" applyNumberFormat="1" applyFont="1" applyFill="1" applyBorder="1" applyAlignment="1">
      <alignment horizontal="center" vertical="center"/>
    </xf>
    <xf numFmtId="49" fontId="208" fillId="5" borderId="130" xfId="0" applyNumberFormat="1" applyFont="1" applyFill="1" applyBorder="1" applyAlignment="1">
      <alignment horizontal="center" vertical="center"/>
    </xf>
    <xf numFmtId="49" fontId="208" fillId="5" borderId="152" xfId="0" applyNumberFormat="1" applyFont="1" applyFill="1" applyBorder="1" applyAlignment="1">
      <alignment horizontal="center" vertical="center"/>
    </xf>
    <xf numFmtId="0" fontId="208" fillId="5" borderId="148" xfId="2" applyFont="1" applyFill="1" applyBorder="1" applyAlignment="1">
      <alignment horizontal="left" vertical="center" wrapText="1"/>
    </xf>
    <xf numFmtId="0" fontId="208" fillId="5" borderId="135" xfId="2" applyFont="1" applyFill="1" applyBorder="1" applyAlignment="1">
      <alignment horizontal="left" vertical="center" wrapText="1"/>
    </xf>
    <xf numFmtId="0" fontId="208" fillId="5" borderId="192" xfId="2" applyFont="1" applyFill="1" applyBorder="1" applyAlignment="1">
      <alignment horizontal="left" vertical="center" wrapText="1"/>
    </xf>
    <xf numFmtId="49" fontId="70" fillId="0" borderId="19" xfId="2" applyNumberFormat="1" applyFont="1" applyFill="1" applyBorder="1" applyAlignment="1">
      <alignment horizontal="left" vertical="center" wrapText="1"/>
    </xf>
    <xf numFmtId="49" fontId="70" fillId="0" borderId="31" xfId="2" applyNumberFormat="1" applyFont="1" applyFill="1" applyBorder="1" applyAlignment="1">
      <alignment horizontal="left" vertical="center" wrapText="1"/>
    </xf>
    <xf numFmtId="49" fontId="70" fillId="0" borderId="16" xfId="2" applyNumberFormat="1" applyFont="1" applyFill="1" applyBorder="1" applyAlignment="1">
      <alignment horizontal="left" vertical="center" wrapText="1"/>
    </xf>
    <xf numFmtId="49" fontId="70" fillId="0" borderId="49" xfId="2" applyNumberFormat="1" applyFont="1" applyFill="1" applyBorder="1" applyAlignment="1">
      <alignment horizontal="left" vertical="center" wrapText="1"/>
    </xf>
    <xf numFmtId="49" fontId="70" fillId="0" borderId="6" xfId="2" applyNumberFormat="1" applyFont="1" applyFill="1" applyBorder="1" applyAlignment="1">
      <alignment horizontal="left" vertical="center" wrapText="1"/>
    </xf>
    <xf numFmtId="49" fontId="70" fillId="0" borderId="21" xfId="2" applyNumberFormat="1" applyFont="1" applyFill="1" applyBorder="1" applyAlignment="1">
      <alignment horizontal="left" vertical="center" wrapText="1"/>
    </xf>
    <xf numFmtId="0" fontId="70" fillId="0" borderId="49" xfId="2" applyFont="1" applyFill="1" applyBorder="1" applyAlignment="1">
      <alignment horizontal="center" vertical="center" wrapText="1"/>
    </xf>
    <xf numFmtId="0" fontId="70" fillId="0" borderId="6" xfId="2" applyFont="1" applyFill="1" applyBorder="1" applyAlignment="1">
      <alignment horizontal="center" vertical="center" wrapText="1"/>
    </xf>
    <xf numFmtId="0" fontId="70" fillId="0" borderId="21" xfId="2" applyFont="1" applyFill="1" applyBorder="1" applyAlignment="1">
      <alignment horizontal="center" vertical="center" wrapText="1"/>
    </xf>
    <xf numFmtId="49" fontId="70" fillId="0" borderId="154" xfId="2" applyNumberFormat="1" applyFont="1" applyFill="1" applyBorder="1" applyAlignment="1">
      <alignment horizontal="center" vertical="center" wrapText="1"/>
    </xf>
    <xf numFmtId="49" fontId="70" fillId="0" borderId="35" xfId="2" applyNumberFormat="1" applyFont="1" applyFill="1" applyBorder="1" applyAlignment="1">
      <alignment horizontal="center" vertical="center" wrapText="1"/>
    </xf>
    <xf numFmtId="49" fontId="70" fillId="0" borderId="87" xfId="2" applyNumberFormat="1" applyFont="1" applyFill="1" applyBorder="1" applyAlignment="1">
      <alignment horizontal="center" vertical="center" wrapText="1"/>
    </xf>
    <xf numFmtId="0" fontId="53" fillId="5" borderId="139" xfId="2" applyFont="1" applyFill="1" applyBorder="1" applyAlignment="1">
      <alignment horizontal="center" vertical="center" wrapText="1"/>
    </xf>
    <xf numFmtId="0" fontId="53" fillId="5" borderId="130" xfId="2" applyFont="1" applyFill="1" applyBorder="1" applyAlignment="1">
      <alignment horizontal="center" vertical="center" wrapText="1"/>
    </xf>
    <xf numFmtId="0" fontId="53" fillId="5" borderId="152" xfId="2" applyFont="1" applyFill="1" applyBorder="1" applyAlignment="1">
      <alignment horizontal="center" vertical="center" wrapText="1"/>
    </xf>
    <xf numFmtId="0" fontId="207" fillId="5" borderId="188" xfId="2" applyFont="1" applyFill="1" applyBorder="1" applyAlignment="1">
      <alignment horizontal="left" vertical="center" wrapText="1"/>
    </xf>
    <xf numFmtId="0" fontId="207" fillId="5" borderId="135" xfId="2" applyFont="1" applyFill="1" applyBorder="1" applyAlignment="1">
      <alignment horizontal="left" vertical="center" wrapText="1"/>
    </xf>
    <xf numFmtId="0" fontId="207" fillId="5" borderId="179" xfId="2" applyFont="1" applyFill="1" applyBorder="1" applyAlignment="1">
      <alignment horizontal="left" vertical="center" wrapText="1"/>
    </xf>
    <xf numFmtId="49" fontId="53" fillId="5" borderId="34" xfId="2" applyNumberFormat="1" applyFont="1" applyFill="1" applyBorder="1" applyAlignment="1">
      <alignment horizontal="left" vertical="center" wrapText="1"/>
    </xf>
    <xf numFmtId="49" fontId="53" fillId="5" borderId="31" xfId="2" applyNumberFormat="1" applyFont="1" applyFill="1" applyBorder="1" applyAlignment="1">
      <alignment horizontal="left" vertical="center" wrapText="1"/>
    </xf>
    <xf numFmtId="49" fontId="53" fillId="5" borderId="32" xfId="2" applyNumberFormat="1" applyFont="1" applyFill="1" applyBorder="1" applyAlignment="1">
      <alignment horizontal="left" vertical="center" wrapText="1"/>
    </xf>
    <xf numFmtId="49" fontId="53" fillId="5" borderId="5" xfId="2" applyNumberFormat="1" applyFont="1" applyFill="1" applyBorder="1" applyAlignment="1">
      <alignment horizontal="left" vertical="center" wrapText="1"/>
    </xf>
    <xf numFmtId="49" fontId="53" fillId="5" borderId="6" xfId="2" applyNumberFormat="1" applyFont="1" applyFill="1" applyBorder="1" applyAlignment="1">
      <alignment horizontal="left" vertical="center" wrapText="1"/>
    </xf>
    <xf numFmtId="49" fontId="53" fillId="5" borderId="7" xfId="2" applyNumberFormat="1" applyFont="1" applyFill="1" applyBorder="1" applyAlignment="1">
      <alignment horizontal="left" vertical="center" wrapText="1"/>
    </xf>
    <xf numFmtId="49" fontId="53" fillId="5" borderId="5" xfId="2" applyNumberFormat="1" applyFont="1" applyFill="1" applyBorder="1" applyAlignment="1">
      <alignment horizontal="center" vertical="center" wrapText="1"/>
    </xf>
    <xf numFmtId="49" fontId="53" fillId="5" borderId="6" xfId="2" applyNumberFormat="1" applyFont="1" applyFill="1" applyBorder="1" applyAlignment="1">
      <alignment horizontal="center" vertical="center" wrapText="1"/>
    </xf>
    <xf numFmtId="49" fontId="53" fillId="5" borderId="7" xfId="2" applyNumberFormat="1" applyFont="1" applyFill="1" applyBorder="1" applyAlignment="1">
      <alignment horizontal="center" vertical="center" wrapText="1"/>
    </xf>
    <xf numFmtId="49" fontId="53" fillId="5" borderId="28" xfId="2" applyNumberFormat="1" applyFont="1" applyFill="1" applyBorder="1" applyAlignment="1">
      <alignment horizontal="center" vertical="center" wrapText="1"/>
    </xf>
    <xf numFmtId="49" fontId="53" fillId="5" borderId="35" xfId="2" applyNumberFormat="1" applyFont="1" applyFill="1" applyBorder="1" applyAlignment="1">
      <alignment horizontal="center" vertical="center" wrapText="1"/>
    </xf>
    <xf numFmtId="49" fontId="53" fillId="5" borderId="27" xfId="2" applyNumberFormat="1" applyFont="1" applyFill="1" applyBorder="1" applyAlignment="1">
      <alignment horizontal="center" vertical="center" wrapText="1"/>
    </xf>
    <xf numFmtId="49" fontId="53" fillId="5" borderId="183" xfId="2" applyNumberFormat="1" applyFont="1" applyFill="1" applyBorder="1" applyAlignment="1">
      <alignment horizontal="center" vertical="center" wrapText="1"/>
    </xf>
    <xf numFmtId="49" fontId="53" fillId="5" borderId="130" xfId="2" applyNumberFormat="1" applyFont="1" applyFill="1" applyBorder="1" applyAlignment="1">
      <alignment horizontal="center" vertical="center" wrapText="1"/>
    </xf>
    <xf numFmtId="49" fontId="53" fillId="5" borderId="191" xfId="2" applyNumberFormat="1" applyFont="1" applyFill="1" applyBorder="1" applyAlignment="1">
      <alignment horizontal="center" vertical="center" wrapText="1"/>
    </xf>
    <xf numFmtId="49" fontId="208" fillId="5" borderId="195" xfId="0" applyNumberFormat="1" applyFont="1" applyFill="1" applyBorder="1" applyAlignment="1">
      <alignment horizontal="center" vertical="center" wrapText="1"/>
    </xf>
    <xf numFmtId="49" fontId="208" fillId="5" borderId="125" xfId="0" applyNumberFormat="1" applyFont="1" applyFill="1" applyBorder="1" applyAlignment="1">
      <alignment horizontal="center" vertical="center" wrapText="1"/>
    </xf>
    <xf numFmtId="49" fontId="208" fillId="5" borderId="193" xfId="0" applyNumberFormat="1" applyFont="1" applyFill="1" applyBorder="1" applyAlignment="1">
      <alignment horizontal="center" vertical="center" wrapText="1"/>
    </xf>
    <xf numFmtId="0" fontId="53" fillId="5" borderId="19" xfId="2" applyFont="1" applyFill="1" applyBorder="1" applyAlignment="1">
      <alignment horizontal="left" vertical="center" wrapText="1"/>
    </xf>
    <xf numFmtId="0" fontId="53" fillId="5" borderId="31" xfId="2" applyFont="1" applyFill="1" applyBorder="1" applyAlignment="1">
      <alignment horizontal="left" vertical="center" wrapText="1"/>
    </xf>
    <xf numFmtId="0" fontId="53" fillId="5" borderId="16" xfId="2" applyFont="1" applyFill="1" applyBorder="1" applyAlignment="1">
      <alignment horizontal="left" vertical="center" wrapText="1"/>
    </xf>
    <xf numFmtId="0" fontId="53" fillId="5" borderId="49" xfId="2" applyFont="1" applyFill="1" applyBorder="1" applyAlignment="1">
      <alignment horizontal="left" vertical="center" wrapText="1"/>
    </xf>
    <xf numFmtId="0" fontId="53" fillId="5" borderId="6" xfId="2" applyFont="1" applyFill="1" applyBorder="1" applyAlignment="1">
      <alignment horizontal="left" vertical="center" wrapText="1"/>
    </xf>
    <xf numFmtId="0" fontId="53" fillId="5" borderId="21" xfId="2" applyFont="1" applyFill="1" applyBorder="1" applyAlignment="1">
      <alignment horizontal="left" vertical="center" wrapText="1"/>
    </xf>
    <xf numFmtId="0" fontId="53" fillId="5" borderId="49" xfId="2" applyFont="1" applyFill="1" applyBorder="1" applyAlignment="1">
      <alignment horizontal="center" vertical="center" wrapText="1"/>
    </xf>
    <xf numFmtId="0" fontId="53" fillId="5" borderId="6" xfId="2" applyFont="1" applyFill="1" applyBorder="1" applyAlignment="1">
      <alignment horizontal="center" vertical="center" wrapText="1"/>
    </xf>
    <xf numFmtId="0" fontId="53" fillId="5" borderId="21" xfId="2" applyFont="1" applyFill="1" applyBorder="1" applyAlignment="1">
      <alignment horizontal="center" vertical="center" wrapText="1"/>
    </xf>
    <xf numFmtId="0" fontId="53" fillId="5" borderId="154" xfId="2" applyFont="1" applyFill="1" applyBorder="1" applyAlignment="1">
      <alignment horizontal="center" vertical="center" wrapText="1"/>
    </xf>
    <xf numFmtId="0" fontId="53" fillId="5" borderId="35" xfId="2" applyFont="1" applyFill="1" applyBorder="1" applyAlignment="1">
      <alignment horizontal="center" vertical="center" wrapText="1"/>
    </xf>
    <xf numFmtId="0" fontId="53" fillId="5" borderId="87" xfId="2" applyFont="1" applyFill="1" applyBorder="1" applyAlignment="1">
      <alignment horizontal="center" vertical="center" wrapText="1"/>
    </xf>
    <xf numFmtId="0" fontId="208" fillId="0" borderId="0" xfId="0" applyFont="1" applyBorder="1" applyAlignment="1">
      <alignment horizontal="center"/>
    </xf>
    <xf numFmtId="49" fontId="207" fillId="10" borderId="139" xfId="2" applyNumberFormat="1" applyFont="1" applyFill="1" applyBorder="1" applyAlignment="1">
      <alignment horizontal="center" vertical="center" wrapText="1" shrinkToFit="1"/>
    </xf>
    <xf numFmtId="49" fontId="207" fillId="10" borderId="152" xfId="2" applyNumberFormat="1" applyFont="1" applyFill="1" applyBorder="1" applyAlignment="1">
      <alignment horizontal="center" vertical="center" wrapText="1" shrinkToFit="1"/>
    </xf>
    <xf numFmtId="0" fontId="207" fillId="10" borderId="148" xfId="2" applyFont="1" applyFill="1" applyBorder="1" applyAlignment="1">
      <alignment horizontal="left" vertical="center" wrapText="1" shrinkToFit="1"/>
    </xf>
    <xf numFmtId="0" fontId="207" fillId="10" borderId="192" xfId="2" applyFont="1" applyFill="1" applyBorder="1" applyAlignment="1">
      <alignment horizontal="left" vertical="center" wrapText="1" shrinkToFit="1"/>
    </xf>
    <xf numFmtId="0" fontId="207" fillId="10" borderId="19" xfId="2" applyFont="1" applyFill="1" applyBorder="1" applyAlignment="1">
      <alignment horizontal="left" vertical="center" wrapText="1" shrinkToFit="1"/>
    </xf>
    <xf numFmtId="0" fontId="207" fillId="10" borderId="16" xfId="2" applyFont="1" applyFill="1" applyBorder="1" applyAlignment="1">
      <alignment horizontal="left" vertical="center" wrapText="1" shrinkToFit="1"/>
    </xf>
    <xf numFmtId="0" fontId="207" fillId="10" borderId="49" xfId="2" applyFont="1" applyFill="1" applyBorder="1" applyAlignment="1">
      <alignment horizontal="left" vertical="center" wrapText="1" shrinkToFit="1"/>
    </xf>
    <xf numFmtId="0" fontId="207" fillId="10" borderId="21" xfId="2" applyFont="1" applyFill="1" applyBorder="1" applyAlignment="1">
      <alignment horizontal="left" vertical="center" wrapText="1" shrinkToFit="1"/>
    </xf>
    <xf numFmtId="0" fontId="207" fillId="10" borderId="49" xfId="2" applyFont="1" applyFill="1" applyBorder="1" applyAlignment="1">
      <alignment horizontal="center" vertical="center" wrapText="1" shrinkToFit="1"/>
    </xf>
    <xf numFmtId="0" fontId="207" fillId="10" borderId="21" xfId="2" applyFont="1" applyFill="1" applyBorder="1" applyAlignment="1">
      <alignment horizontal="center" vertical="center" wrapText="1" shrinkToFit="1"/>
    </xf>
    <xf numFmtId="0" fontId="207" fillId="10" borderId="154" xfId="2" applyFont="1" applyFill="1" applyBorder="1" applyAlignment="1">
      <alignment horizontal="center" vertical="center" wrapText="1" shrinkToFit="1"/>
    </xf>
    <xf numFmtId="0" fontId="207" fillId="10" borderId="27" xfId="2" applyFont="1" applyFill="1" applyBorder="1" applyAlignment="1">
      <alignment horizontal="center" vertical="center" wrapText="1" shrinkToFit="1"/>
    </xf>
    <xf numFmtId="0" fontId="207" fillId="10" borderId="148" xfId="2" applyFont="1" applyFill="1" applyBorder="1" applyAlignment="1">
      <alignment horizontal="center" vertical="center" wrapText="1" shrinkToFit="1"/>
    </xf>
    <xf numFmtId="0" fontId="207" fillId="10" borderId="192" xfId="2" applyFont="1" applyFill="1" applyBorder="1" applyAlignment="1">
      <alignment horizontal="center" vertical="center" wrapText="1" shrinkToFit="1"/>
    </xf>
    <xf numFmtId="0" fontId="71" fillId="76" borderId="123" xfId="0" applyFont="1" applyFill="1" applyBorder="1" applyAlignment="1">
      <alignment horizontal="center" vertical="center" wrapText="1"/>
    </xf>
    <xf numFmtId="0" fontId="71" fillId="76" borderId="0" xfId="0" applyFont="1" applyFill="1" applyBorder="1" applyAlignment="1">
      <alignment horizontal="center" vertical="center" wrapText="1"/>
    </xf>
    <xf numFmtId="0" fontId="71" fillId="76" borderId="124" xfId="0" applyFont="1" applyFill="1" applyBorder="1" applyAlignment="1">
      <alignment horizontal="center" vertical="center" wrapText="1"/>
    </xf>
    <xf numFmtId="0" fontId="71" fillId="76" borderId="38" xfId="0" applyFont="1" applyFill="1" applyBorder="1" applyAlignment="1">
      <alignment horizontal="center" vertical="center" wrapText="1"/>
    </xf>
    <xf numFmtId="0" fontId="71" fillId="76" borderId="120" xfId="0" applyFont="1" applyFill="1" applyBorder="1" applyAlignment="1">
      <alignment horizontal="center" vertical="center" wrapText="1"/>
    </xf>
    <xf numFmtId="0" fontId="71" fillId="76" borderId="121" xfId="0" applyFont="1" applyFill="1" applyBorder="1" applyAlignment="1">
      <alignment horizontal="center" vertical="center" wrapText="1"/>
    </xf>
    <xf numFmtId="0" fontId="71" fillId="76" borderId="122" xfId="0" applyFont="1" applyFill="1" applyBorder="1" applyAlignment="1">
      <alignment horizontal="center" vertical="center" wrapText="1"/>
    </xf>
    <xf numFmtId="0" fontId="71" fillId="76" borderId="117" xfId="0" applyFont="1" applyFill="1" applyBorder="1" applyAlignment="1">
      <alignment horizontal="center" vertical="center" wrapText="1"/>
    </xf>
    <xf numFmtId="0" fontId="121" fillId="0" borderId="23" xfId="0" applyFont="1" applyBorder="1" applyAlignment="1">
      <alignment horizontal="left"/>
    </xf>
    <xf numFmtId="0" fontId="121" fillId="0" borderId="6" xfId="0" applyFont="1" applyBorder="1" applyAlignment="1">
      <alignment horizontal="left"/>
    </xf>
    <xf numFmtId="0" fontId="121" fillId="0" borderId="22" xfId="0" applyFont="1" applyBorder="1" applyAlignment="1">
      <alignment horizontal="left"/>
    </xf>
    <xf numFmtId="0" fontId="71" fillId="76" borderId="14" xfId="0" applyFont="1" applyFill="1" applyBorder="1" applyAlignment="1">
      <alignment horizontal="left"/>
    </xf>
    <xf numFmtId="0" fontId="71" fillId="76" borderId="13" xfId="0" applyFont="1" applyFill="1" applyBorder="1" applyAlignment="1">
      <alignment horizontal="left"/>
    </xf>
    <xf numFmtId="0" fontId="121" fillId="0" borderId="24" xfId="0" applyFont="1" applyBorder="1" applyAlignment="1">
      <alignment horizontal="left"/>
    </xf>
    <xf numFmtId="0" fontId="121" fillId="0" borderId="5" xfId="0" applyFont="1" applyBorder="1" applyAlignment="1">
      <alignment horizontal="left"/>
    </xf>
    <xf numFmtId="0" fontId="121" fillId="0" borderId="28" xfId="0" applyFont="1" applyBorder="1" applyAlignment="1">
      <alignment horizontal="left"/>
    </xf>
    <xf numFmtId="0" fontId="121" fillId="0" borderId="17" xfId="0" applyFont="1" applyBorder="1" applyAlignment="1">
      <alignment horizontal="left"/>
    </xf>
    <xf numFmtId="0" fontId="121" fillId="0" borderId="21" xfId="0" applyFont="1" applyBorder="1" applyAlignment="1">
      <alignment horizontal="left"/>
    </xf>
    <xf numFmtId="0" fontId="121" fillId="0" borderId="87" xfId="0" applyFont="1" applyBorder="1" applyAlignment="1">
      <alignment horizontal="left"/>
    </xf>
    <xf numFmtId="0" fontId="121" fillId="0" borderId="20" xfId="0" applyFont="1" applyBorder="1" applyAlignment="1">
      <alignment horizontal="left"/>
    </xf>
    <xf numFmtId="0" fontId="121" fillId="0" borderId="49" xfId="0" applyFont="1" applyBorder="1" applyAlignment="1">
      <alignment horizontal="left"/>
    </xf>
    <xf numFmtId="0" fontId="121" fillId="0" borderId="154" xfId="0" applyFont="1" applyBorder="1" applyAlignment="1">
      <alignment horizontal="left"/>
    </xf>
    <xf numFmtId="0" fontId="121" fillId="0" borderId="35" xfId="0" applyFont="1" applyBorder="1" applyAlignment="1">
      <alignment horizontal="left"/>
    </xf>
    <xf numFmtId="0" fontId="121" fillId="0" borderId="50" xfId="0" applyFont="1" applyBorder="1" applyAlignment="1">
      <alignment horizontal="left"/>
    </xf>
    <xf numFmtId="0" fontId="121" fillId="0" borderId="7" xfId="0" applyFont="1" applyBorder="1" applyAlignment="1">
      <alignment horizontal="left"/>
    </xf>
    <xf numFmtId="0" fontId="121" fillId="0" borderId="27" xfId="0" applyFont="1" applyBorder="1" applyAlignment="1">
      <alignment horizontal="left"/>
    </xf>
    <xf numFmtId="0" fontId="121" fillId="0" borderId="14" xfId="0" applyFont="1" applyBorder="1" applyAlignment="1">
      <alignment horizontal="left"/>
    </xf>
    <xf numFmtId="0" fontId="121" fillId="0" borderId="13" xfId="0" applyFont="1" applyBorder="1" applyAlignment="1">
      <alignment horizontal="left"/>
    </xf>
    <xf numFmtId="0" fontId="121" fillId="0" borderId="107" xfId="0" applyFont="1" applyBorder="1" applyAlignment="1">
      <alignment horizontal="left"/>
    </xf>
    <xf numFmtId="0" fontId="121" fillId="0" borderId="15" xfId="0" applyFont="1" applyBorder="1" applyAlignment="1">
      <alignment horizontal="left"/>
    </xf>
    <xf numFmtId="0" fontId="71" fillId="76" borderId="12" xfId="0" applyFont="1" applyFill="1" applyBorder="1" applyAlignment="1">
      <alignment horizontal="left"/>
    </xf>
    <xf numFmtId="0" fontId="121" fillId="0" borderId="18" xfId="0" applyFont="1" applyBorder="1" applyAlignment="1">
      <alignment horizontal="left"/>
    </xf>
    <xf numFmtId="0" fontId="50" fillId="0" borderId="0" xfId="0" applyFont="1" applyBorder="1" applyAlignment="1">
      <alignment horizontal="center" vertical="center" wrapText="1"/>
    </xf>
    <xf numFmtId="0" fontId="189" fillId="70" borderId="14" xfId="0" applyFont="1" applyFill="1" applyBorder="1" applyAlignment="1">
      <alignment horizontal="center"/>
    </xf>
    <xf numFmtId="0" fontId="189" fillId="70" borderId="13" xfId="0" applyFont="1" applyFill="1" applyBorder="1" applyAlignment="1">
      <alignment horizontal="center"/>
    </xf>
    <xf numFmtId="0" fontId="189" fillId="70" borderId="12" xfId="0" applyFont="1" applyFill="1" applyBorder="1" applyAlignment="1">
      <alignment horizontal="center"/>
    </xf>
    <xf numFmtId="0" fontId="51" fillId="10" borderId="137" xfId="0" applyFont="1" applyFill="1" applyBorder="1" applyAlignment="1">
      <alignment horizontal="center" vertical="center"/>
    </xf>
    <xf numFmtId="0" fontId="51" fillId="10" borderId="138" xfId="0" applyFont="1" applyFill="1" applyBorder="1" applyAlignment="1">
      <alignment horizontal="center" vertical="center"/>
    </xf>
    <xf numFmtId="0" fontId="51" fillId="10" borderId="142" xfId="0" applyFont="1" applyFill="1" applyBorder="1" applyAlignment="1">
      <alignment horizontal="center" vertical="center"/>
    </xf>
    <xf numFmtId="0" fontId="51" fillId="2" borderId="124" xfId="0" applyFont="1" applyFill="1" applyBorder="1" applyAlignment="1">
      <alignment horizontal="left" vertical="center"/>
    </xf>
    <xf numFmtId="0" fontId="51" fillId="2" borderId="117" xfId="0" applyFont="1" applyFill="1" applyBorder="1" applyAlignment="1">
      <alignment horizontal="left" vertical="center"/>
    </xf>
    <xf numFmtId="0" fontId="51" fillId="2" borderId="23" xfId="0" applyFont="1" applyFill="1" applyBorder="1" applyAlignment="1">
      <alignment horizontal="left" vertical="center"/>
    </xf>
    <xf numFmtId="0" fontId="51" fillId="2" borderId="22" xfId="0" applyFont="1" applyFill="1" applyBorder="1" applyAlignment="1">
      <alignment horizontal="left" vertical="center"/>
    </xf>
    <xf numFmtId="0" fontId="51" fillId="2" borderId="130" xfId="0" applyFont="1" applyFill="1" applyBorder="1" applyAlignment="1">
      <alignment horizontal="left" vertical="center"/>
    </xf>
    <xf numFmtId="0" fontId="51" fillId="2" borderId="140" xfId="0" applyFont="1" applyFill="1" applyBorder="1" applyAlignment="1">
      <alignment horizontal="left" vertical="center"/>
    </xf>
    <xf numFmtId="0" fontId="51" fillId="2" borderId="139" xfId="0" applyFont="1" applyFill="1" applyBorder="1" applyAlignment="1">
      <alignment horizontal="left" vertical="center"/>
    </xf>
    <xf numFmtId="0" fontId="51" fillId="2" borderId="113" xfId="0" applyFont="1" applyFill="1" applyBorder="1" applyAlignment="1">
      <alignment horizontal="left" vertical="center"/>
    </xf>
    <xf numFmtId="0" fontId="51" fillId="0" borderId="139" xfId="0" applyFont="1" applyFill="1" applyBorder="1" applyAlignment="1">
      <alignment horizontal="left" vertical="center"/>
    </xf>
    <xf numFmtId="0" fontId="51" fillId="0" borderId="143" xfId="0" applyFont="1" applyFill="1" applyBorder="1" applyAlignment="1">
      <alignment horizontal="left" vertical="center"/>
    </xf>
    <xf numFmtId="0" fontId="51" fillId="0" borderId="19" xfId="0" applyFont="1" applyFill="1" applyBorder="1" applyAlignment="1">
      <alignment horizontal="left" vertical="center"/>
    </xf>
    <xf numFmtId="0" fontId="49" fillId="5" borderId="152" xfId="0" applyFont="1" applyFill="1" applyBorder="1" applyAlignment="1">
      <alignment horizontal="left" vertical="center"/>
    </xf>
    <xf numFmtId="0" fontId="49" fillId="5" borderId="86" xfId="0" applyFont="1" applyFill="1" applyBorder="1" applyAlignment="1">
      <alignment horizontal="left" vertical="center"/>
    </xf>
    <xf numFmtId="0" fontId="49" fillId="5" borderId="144" xfId="0" applyFont="1" applyFill="1" applyBorder="1" applyAlignment="1">
      <alignment horizontal="left" vertical="center"/>
    </xf>
    <xf numFmtId="0" fontId="51" fillId="10" borderId="120" xfId="0" applyFont="1" applyFill="1" applyBorder="1" applyAlignment="1">
      <alignment horizontal="center" vertical="center"/>
    </xf>
    <xf numFmtId="0" fontId="51" fillId="10" borderId="143" xfId="0" applyFont="1" applyFill="1" applyBorder="1" applyAlignment="1">
      <alignment horizontal="center" vertical="center"/>
    </xf>
    <xf numFmtId="0" fontId="51" fillId="10" borderId="113" xfId="0" applyFont="1" applyFill="1" applyBorder="1" applyAlignment="1">
      <alignment horizontal="center" vertical="center"/>
    </xf>
    <xf numFmtId="0" fontId="49" fillId="0" borderId="35" xfId="0" applyFont="1" applyFill="1" applyBorder="1" applyAlignment="1">
      <alignment horizontal="left" vertical="center" wrapText="1"/>
    </xf>
    <xf numFmtId="0" fontId="49" fillId="0" borderId="37" xfId="0" applyFont="1" applyFill="1" applyBorder="1" applyAlignment="1">
      <alignment horizontal="left" vertical="center" wrapText="1"/>
    </xf>
    <xf numFmtId="0" fontId="49" fillId="0" borderId="140" xfId="0" applyFont="1" applyFill="1" applyBorder="1" applyAlignment="1">
      <alignment horizontal="left" vertical="center" wrapText="1"/>
    </xf>
    <xf numFmtId="0" fontId="51" fillId="0" borderId="35" xfId="0" applyFont="1" applyFill="1" applyBorder="1" applyAlignment="1">
      <alignment horizontal="left" vertical="center"/>
    </xf>
    <xf numFmtId="0" fontId="51" fillId="0" borderId="37" xfId="0" applyFont="1" applyFill="1" applyBorder="1" applyAlignment="1">
      <alignment horizontal="left" vertical="center"/>
    </xf>
    <xf numFmtId="0" fontId="51" fillId="0" borderId="31" xfId="0" applyFont="1" applyFill="1" applyBorder="1" applyAlignment="1">
      <alignment horizontal="left" vertical="center"/>
    </xf>
    <xf numFmtId="0" fontId="49" fillId="0" borderId="35" xfId="0" applyFont="1" applyFill="1" applyBorder="1" applyAlignment="1">
      <alignment horizontal="left" vertical="center"/>
    </xf>
    <xf numFmtId="0" fontId="49" fillId="0" borderId="37" xfId="0" applyFont="1" applyFill="1" applyBorder="1" applyAlignment="1">
      <alignment horizontal="left" vertical="center"/>
    </xf>
    <xf numFmtId="0" fontId="49" fillId="0" borderId="140" xfId="0" applyFont="1" applyFill="1" applyBorder="1" applyAlignment="1">
      <alignment horizontal="left" vertical="center"/>
    </xf>
    <xf numFmtId="0" fontId="50" fillId="0" borderId="6" xfId="0" applyFont="1" applyBorder="1" applyAlignment="1">
      <alignment horizontal="center" wrapText="1"/>
    </xf>
    <xf numFmtId="0" fontId="50" fillId="0" borderId="6" xfId="0" applyFont="1" applyBorder="1" applyAlignment="1">
      <alignment horizontal="center"/>
    </xf>
    <xf numFmtId="0" fontId="50" fillId="0" borderId="35" xfId="0" applyFont="1" applyBorder="1" applyAlignment="1">
      <alignment horizontal="center" wrapText="1"/>
    </xf>
    <xf numFmtId="0" fontId="50" fillId="0" borderId="31" xfId="0" applyFont="1" applyBorder="1" applyAlignment="1">
      <alignment horizontal="center" wrapText="1"/>
    </xf>
    <xf numFmtId="0" fontId="51" fillId="10" borderId="54" xfId="0" applyFont="1" applyFill="1" applyBorder="1" applyAlignment="1">
      <alignment horizontal="center" vertical="center"/>
    </xf>
    <xf numFmtId="0" fontId="51" fillId="10" borderId="55" xfId="0" applyFont="1" applyFill="1" applyBorder="1" applyAlignment="1">
      <alignment horizontal="center" vertical="center"/>
    </xf>
    <xf numFmtId="0" fontId="51" fillId="10" borderId="56" xfId="0" applyFont="1" applyFill="1" applyBorder="1" applyAlignment="1">
      <alignment horizontal="center" vertical="center"/>
    </xf>
    <xf numFmtId="0" fontId="49" fillId="0" borderId="59" xfId="0" applyFont="1" applyFill="1" applyBorder="1" applyAlignment="1">
      <alignment horizontal="left" vertical="center" wrapText="1"/>
    </xf>
    <xf numFmtId="0" fontId="49" fillId="0" borderId="59" xfId="0" applyFont="1" applyFill="1" applyBorder="1" applyAlignment="1">
      <alignment horizontal="left" vertical="center"/>
    </xf>
    <xf numFmtId="0" fontId="49" fillId="0" borderId="87" xfId="0" applyFont="1" applyFill="1" applyBorder="1" applyAlignment="1">
      <alignment horizontal="center" vertical="center"/>
    </xf>
    <xf numFmtId="0" fontId="49" fillId="0" borderId="86" xfId="0" applyFont="1" applyFill="1" applyBorder="1" applyAlignment="1">
      <alignment horizontal="center" vertical="center"/>
    </xf>
    <xf numFmtId="0" fontId="49" fillId="0" borderId="144" xfId="0" applyFont="1" applyFill="1" applyBorder="1" applyAlignment="1">
      <alignment horizontal="center" vertical="center"/>
    </xf>
    <xf numFmtId="0" fontId="51" fillId="10" borderId="153" xfId="0" applyFont="1" applyFill="1" applyBorder="1" applyAlignment="1">
      <alignment horizontal="center" vertical="center"/>
    </xf>
    <xf numFmtId="0" fontId="51" fillId="10" borderId="25" xfId="0" applyFont="1" applyFill="1" applyBorder="1" applyAlignment="1">
      <alignment horizontal="center" vertical="center"/>
    </xf>
    <xf numFmtId="0" fontId="51" fillId="10" borderId="149" xfId="0" applyFont="1" applyFill="1" applyBorder="1" applyAlignment="1">
      <alignment horizontal="center" vertical="center"/>
    </xf>
    <xf numFmtId="0" fontId="51" fillId="0" borderId="154" xfId="0" applyFont="1" applyFill="1" applyBorder="1" applyAlignment="1">
      <alignment horizontal="left" vertical="center"/>
    </xf>
    <xf numFmtId="49" fontId="49" fillId="0" borderId="37" xfId="0" applyNumberFormat="1" applyFont="1" applyFill="1" applyBorder="1" applyAlignment="1">
      <alignment horizontal="left" vertical="center" wrapText="1"/>
    </xf>
    <xf numFmtId="49" fontId="49" fillId="0" borderId="140" xfId="0" applyNumberFormat="1" applyFont="1" applyFill="1" applyBorder="1" applyAlignment="1">
      <alignment horizontal="left" vertical="center" wrapText="1"/>
    </xf>
    <xf numFmtId="49" fontId="49" fillId="0" borderId="86" xfId="0" applyNumberFormat="1" applyFont="1" applyFill="1" applyBorder="1" applyAlignment="1">
      <alignment horizontal="left" vertical="center" wrapText="1"/>
    </xf>
    <xf numFmtId="49" fontId="49" fillId="0" borderId="144" xfId="0" applyNumberFormat="1" applyFont="1" applyFill="1" applyBorder="1" applyAlignment="1">
      <alignment horizontal="left" vertical="center" wrapText="1"/>
    </xf>
    <xf numFmtId="0" fontId="50" fillId="2" borderId="75" xfId="0" applyFont="1" applyFill="1" applyBorder="1" applyAlignment="1">
      <alignment horizontal="center"/>
    </xf>
    <xf numFmtId="0" fontId="50" fillId="2" borderId="76" xfId="0" applyFont="1" applyFill="1" applyBorder="1" applyAlignment="1">
      <alignment horizontal="center"/>
    </xf>
    <xf numFmtId="0" fontId="50" fillId="2" borderId="78" xfId="0" applyFont="1" applyFill="1" applyBorder="1" applyAlignment="1">
      <alignment horizontal="center"/>
    </xf>
    <xf numFmtId="0" fontId="51" fillId="0" borderId="28" xfId="0" applyFont="1" applyFill="1" applyBorder="1" applyAlignment="1">
      <alignment horizontal="left" vertical="center" wrapText="1"/>
    </xf>
    <xf numFmtId="0" fontId="51" fillId="0" borderId="29" xfId="0" applyFont="1" applyFill="1" applyBorder="1" applyAlignment="1">
      <alignment horizontal="left" vertical="center" wrapText="1"/>
    </xf>
    <xf numFmtId="0" fontId="51" fillId="0" borderId="99" xfId="0" applyFont="1" applyFill="1" applyBorder="1" applyAlignment="1">
      <alignment horizontal="left" vertical="center" wrapText="1"/>
    </xf>
    <xf numFmtId="0" fontId="49" fillId="0" borderId="87" xfId="0" applyFont="1" applyFill="1" applyBorder="1" applyAlignment="1">
      <alignment horizontal="left" vertical="center" wrapText="1"/>
    </xf>
    <xf numFmtId="0" fontId="49" fillId="0" borderId="86" xfId="0" applyFont="1" applyFill="1" applyBorder="1" applyAlignment="1">
      <alignment horizontal="left" vertical="center" wrapText="1"/>
    </xf>
    <xf numFmtId="0" fontId="49" fillId="0" borderId="144" xfId="0" applyFont="1" applyFill="1" applyBorder="1" applyAlignment="1">
      <alignment horizontal="left" vertical="center" wrapText="1"/>
    </xf>
    <xf numFmtId="0" fontId="49" fillId="10" borderId="147" xfId="0" applyFont="1" applyFill="1" applyBorder="1" applyAlignment="1">
      <alignment horizontal="center" vertical="center" wrapText="1"/>
    </xf>
    <xf numFmtId="0" fontId="49" fillId="10" borderId="17" xfId="0" applyFont="1" applyFill="1" applyBorder="1" applyAlignment="1">
      <alignment horizontal="center" vertical="center" wrapText="1"/>
    </xf>
    <xf numFmtId="0" fontId="51" fillId="2" borderId="75" xfId="2" applyFont="1" applyFill="1" applyBorder="1" applyAlignment="1">
      <alignment horizontal="left" vertical="center"/>
    </xf>
    <xf numFmtId="0" fontId="51" fillId="2" borderId="76" xfId="2" applyFont="1" applyFill="1" applyBorder="1" applyAlignment="1">
      <alignment horizontal="left" vertical="center"/>
    </xf>
    <xf numFmtId="49" fontId="49" fillId="0" borderId="153" xfId="2" applyNumberFormat="1" applyFont="1" applyFill="1" applyBorder="1" applyAlignment="1">
      <alignment horizontal="center" vertical="center"/>
    </xf>
    <xf numFmtId="49" fontId="49" fillId="0" borderId="25" xfId="2" applyNumberFormat="1" applyFont="1" applyFill="1" applyBorder="1" applyAlignment="1">
      <alignment horizontal="center" vertical="center"/>
    </xf>
    <xf numFmtId="49" fontId="49" fillId="0" borderId="149" xfId="2" applyNumberFormat="1" applyFont="1" applyFill="1" applyBorder="1" applyAlignment="1">
      <alignment horizontal="center" vertical="center"/>
    </xf>
    <xf numFmtId="0" fontId="49" fillId="10" borderId="120" xfId="0" applyFont="1" applyFill="1" applyBorder="1" applyAlignment="1">
      <alignment horizontal="center" vertical="center" wrapText="1"/>
    </xf>
    <xf numFmtId="0" fontId="49" fillId="10" borderId="152" xfId="0" applyFont="1" applyFill="1" applyBorder="1" applyAlignment="1">
      <alignment horizontal="center" vertical="center" wrapText="1"/>
    </xf>
    <xf numFmtId="167" fontId="50" fillId="66" borderId="120" xfId="1" applyNumberFormat="1" applyFont="1" applyFill="1" applyBorder="1" applyAlignment="1">
      <alignment horizontal="center" wrapText="1"/>
    </xf>
    <xf numFmtId="167" fontId="50" fillId="66" borderId="121" xfId="1" applyNumberFormat="1" applyFont="1" applyFill="1" applyBorder="1" applyAlignment="1">
      <alignment horizontal="center" wrapText="1"/>
    </xf>
    <xf numFmtId="167" fontId="50" fillId="66" borderId="122" xfId="1" applyNumberFormat="1" applyFont="1" applyFill="1" applyBorder="1" applyAlignment="1">
      <alignment horizontal="center" wrapText="1"/>
    </xf>
    <xf numFmtId="0" fontId="49" fillId="0" borderId="35" xfId="0" applyFont="1" applyBorder="1" applyAlignment="1">
      <alignment horizontal="left" vertical="center"/>
    </xf>
    <xf numFmtId="0" fontId="49" fillId="0" borderId="37" xfId="0" applyFont="1" applyBorder="1" applyAlignment="1">
      <alignment horizontal="left" vertical="center"/>
    </xf>
    <xf numFmtId="0" fontId="49" fillId="0" borderId="140" xfId="0" applyFont="1" applyBorder="1" applyAlignment="1">
      <alignment horizontal="left" vertical="center"/>
    </xf>
    <xf numFmtId="0" fontId="50" fillId="2" borderId="120" xfId="0" applyFont="1" applyFill="1" applyBorder="1" applyAlignment="1">
      <alignment horizontal="center"/>
    </xf>
    <xf numFmtId="0" fontId="50" fillId="2" borderId="121" xfId="0" applyFont="1" applyFill="1" applyBorder="1" applyAlignment="1">
      <alignment horizontal="center"/>
    </xf>
    <xf numFmtId="0" fontId="50" fillId="2" borderId="122" xfId="0" applyFont="1" applyFill="1" applyBorder="1" applyAlignment="1">
      <alignment horizontal="center"/>
    </xf>
    <xf numFmtId="0" fontId="52" fillId="0" borderId="130" xfId="2" applyFont="1" applyFill="1" applyBorder="1" applyAlignment="1">
      <alignment horizontal="left" vertical="center"/>
    </xf>
    <xf numFmtId="0" fontId="52" fillId="0" borderId="37" xfId="2" applyFont="1" applyFill="1" applyBorder="1" applyAlignment="1">
      <alignment horizontal="left" vertical="center"/>
    </xf>
    <xf numFmtId="0" fontId="52" fillId="0" borderId="31" xfId="2" applyFont="1" applyFill="1" applyBorder="1" applyAlignment="1">
      <alignment horizontal="left" vertical="center"/>
    </xf>
    <xf numFmtId="0" fontId="52" fillId="0" borderId="152" xfId="2" applyFont="1" applyFill="1" applyBorder="1" applyAlignment="1">
      <alignment horizontal="left" vertical="center"/>
    </xf>
    <xf numFmtId="0" fontId="52" fillId="0" borderId="86" xfId="2" applyFont="1" applyFill="1" applyBorder="1" applyAlignment="1">
      <alignment horizontal="left" vertical="center"/>
    </xf>
    <xf numFmtId="0" fontId="52" fillId="0" borderId="16" xfId="2" applyFont="1" applyFill="1" applyBorder="1" applyAlignment="1">
      <alignment horizontal="left" vertical="center"/>
    </xf>
    <xf numFmtId="0" fontId="52" fillId="0" borderId="130" xfId="2" applyFont="1" applyBorder="1" applyAlignment="1">
      <alignment horizontal="left"/>
    </xf>
    <xf numFmtId="0" fontId="52" fillId="0" borderId="37" xfId="2" applyFont="1" applyBorder="1" applyAlignment="1">
      <alignment horizontal="left"/>
    </xf>
    <xf numFmtId="0" fontId="52" fillId="0" borderId="31" xfId="2" applyFont="1" applyBorder="1" applyAlignment="1">
      <alignment horizontal="left"/>
    </xf>
    <xf numFmtId="0" fontId="52" fillId="0" borderId="17" xfId="2" applyFont="1" applyBorder="1" applyAlignment="1">
      <alignment horizontal="left"/>
    </xf>
    <xf numFmtId="0" fontId="52" fillId="0" borderId="21" xfId="2" applyFont="1" applyBorder="1" applyAlignment="1">
      <alignment horizontal="left"/>
    </xf>
    <xf numFmtId="0" fontId="55" fillId="2" borderId="153" xfId="2" applyFont="1" applyFill="1" applyBorder="1" applyAlignment="1">
      <alignment horizontal="center" vertical="center"/>
    </xf>
    <xf numFmtId="0" fontId="55" fillId="2" borderId="25" xfId="2" applyFont="1" applyFill="1" applyBorder="1" applyAlignment="1">
      <alignment horizontal="center" vertical="center"/>
    </xf>
    <xf numFmtId="0" fontId="55" fillId="2" borderId="149" xfId="2" applyFont="1" applyFill="1" applyBorder="1" applyAlignment="1">
      <alignment horizontal="center" vertical="center"/>
    </xf>
    <xf numFmtId="0" fontId="52" fillId="2" borderId="120" xfId="2" applyFont="1" applyFill="1" applyBorder="1" applyAlignment="1">
      <alignment horizontal="left" vertical="center"/>
    </xf>
    <xf numFmtId="0" fontId="52" fillId="2" borderId="121" xfId="2" applyFont="1" applyFill="1" applyBorder="1" applyAlignment="1">
      <alignment horizontal="left" vertical="center"/>
    </xf>
    <xf numFmtId="0" fontId="52" fillId="2" borderId="155" xfId="2" applyFont="1" applyFill="1" applyBorder="1" applyAlignment="1">
      <alignment horizontal="left" vertical="center"/>
    </xf>
    <xf numFmtId="0" fontId="52" fillId="2" borderId="123" xfId="2" applyFont="1" applyFill="1" applyBorder="1" applyAlignment="1">
      <alignment horizontal="center" vertical="center"/>
    </xf>
    <xf numFmtId="0" fontId="52" fillId="2" borderId="0" xfId="2" applyFont="1" applyFill="1" applyBorder="1" applyAlignment="1">
      <alignment horizontal="center" vertical="center"/>
    </xf>
    <xf numFmtId="0" fontId="52" fillId="2" borderId="103" xfId="2" applyFont="1" applyFill="1" applyBorder="1" applyAlignment="1">
      <alignment horizontal="center" vertical="center"/>
    </xf>
    <xf numFmtId="0" fontId="52" fillId="2" borderId="153" xfId="2" applyFont="1" applyFill="1" applyBorder="1" applyAlignment="1">
      <alignment horizontal="left" wrapText="1"/>
    </xf>
    <xf numFmtId="0" fontId="52" fillId="2" borderId="25" xfId="2" applyFont="1" applyFill="1" applyBorder="1" applyAlignment="1">
      <alignment horizontal="left" wrapText="1"/>
    </xf>
    <xf numFmtId="0" fontId="52" fillId="2" borderId="48" xfId="2" applyFont="1" applyFill="1" applyBorder="1" applyAlignment="1">
      <alignment horizontal="left" wrapText="1"/>
    </xf>
    <xf numFmtId="0" fontId="52" fillId="0" borderId="139" xfId="2" applyFont="1" applyBorder="1" applyAlignment="1">
      <alignment horizontal="left"/>
    </xf>
    <xf numFmtId="0" fontId="52" fillId="0" borderId="143" xfId="2" applyFont="1" applyBorder="1" applyAlignment="1">
      <alignment horizontal="left"/>
    </xf>
    <xf numFmtId="0" fontId="52" fillId="0" borderId="19" xfId="2" applyFont="1" applyBorder="1" applyAlignment="1">
      <alignment horizontal="left"/>
    </xf>
    <xf numFmtId="0" fontId="52" fillId="0" borderId="23" xfId="2" applyFont="1" applyBorder="1" applyAlignment="1">
      <alignment horizontal="left"/>
    </xf>
    <xf numFmtId="0" fontId="52" fillId="0" borderId="6" xfId="2" applyFont="1" applyBorder="1" applyAlignment="1">
      <alignment horizontal="left"/>
    </xf>
    <xf numFmtId="0" fontId="52" fillId="2" borderId="120" xfId="2" applyFont="1" applyFill="1" applyBorder="1" applyAlignment="1">
      <alignment horizontal="left" wrapText="1"/>
    </xf>
    <xf numFmtId="0" fontId="52" fillId="2" borderId="121" xfId="2" applyFont="1" applyFill="1" applyBorder="1" applyAlignment="1">
      <alignment horizontal="left" wrapText="1"/>
    </xf>
    <xf numFmtId="0" fontId="52" fillId="2" borderId="155" xfId="2" applyFont="1" applyFill="1" applyBorder="1" applyAlignment="1">
      <alignment horizontal="left" wrapText="1"/>
    </xf>
    <xf numFmtId="0" fontId="52" fillId="0" borderId="20" xfId="2" applyFont="1" applyBorder="1" applyAlignment="1">
      <alignment horizontal="left"/>
    </xf>
    <xf numFmtId="0" fontId="52" fillId="0" borderId="49" xfId="2" applyFont="1" applyBorder="1" applyAlignment="1">
      <alignment horizontal="left"/>
    </xf>
    <xf numFmtId="0" fontId="55" fillId="2" borderId="153" xfId="2" applyFont="1" applyFill="1" applyBorder="1" applyAlignment="1">
      <alignment horizontal="left" vertical="center" wrapText="1"/>
    </xf>
    <xf numFmtId="0" fontId="55" fillId="2" borderId="25" xfId="2" applyFont="1" applyFill="1" applyBorder="1" applyAlignment="1">
      <alignment horizontal="left" vertical="center" wrapText="1"/>
    </xf>
    <xf numFmtId="0" fontId="55" fillId="2" borderId="149" xfId="2" applyFont="1" applyFill="1" applyBorder="1" applyAlignment="1">
      <alignment horizontal="left" vertical="center" wrapText="1"/>
    </xf>
    <xf numFmtId="0" fontId="52" fillId="0" borderId="48" xfId="2" applyNumberFormat="1" applyFont="1" applyFill="1" applyBorder="1" applyAlignment="1">
      <alignment horizontal="justify" vertical="center" wrapText="1"/>
    </xf>
    <xf numFmtId="0" fontId="52" fillId="0" borderId="13" xfId="2" applyNumberFormat="1" applyFont="1" applyBorder="1" applyAlignment="1">
      <alignment vertical="center" wrapText="1"/>
    </xf>
    <xf numFmtId="0" fontId="52" fillId="0" borderId="107" xfId="2" applyNumberFormat="1" applyFont="1" applyBorder="1" applyAlignment="1">
      <alignment vertical="center" wrapText="1"/>
    </xf>
    <xf numFmtId="0" fontId="52" fillId="0" borderId="12" xfId="2" applyNumberFormat="1" applyFont="1" applyBorder="1" applyAlignment="1">
      <alignment vertical="center" wrapText="1"/>
    </xf>
    <xf numFmtId="0" fontId="55" fillId="2" borderId="183" xfId="2" applyFont="1" applyFill="1" applyBorder="1" applyAlignment="1">
      <alignment horizontal="left" vertical="center" wrapText="1"/>
    </xf>
    <xf numFmtId="0" fontId="55" fillId="2" borderId="29" xfId="2" applyFont="1" applyFill="1" applyBorder="1" applyAlignment="1">
      <alignment horizontal="left" vertical="center" wrapText="1"/>
    </xf>
    <xf numFmtId="0" fontId="55" fillId="2" borderId="106" xfId="2" applyFont="1" applyFill="1" applyBorder="1" applyAlignment="1">
      <alignment horizontal="left" vertical="center" wrapText="1"/>
    </xf>
    <xf numFmtId="0" fontId="52" fillId="0" borderId="34" xfId="2" applyFont="1" applyFill="1" applyBorder="1" applyAlignment="1">
      <alignment horizontal="left" vertical="center" wrapText="1"/>
    </xf>
    <xf numFmtId="0" fontId="52" fillId="0" borderId="5" xfId="2" applyFont="1" applyBorder="1" applyAlignment="1">
      <alignment horizontal="left" vertical="center" wrapText="1"/>
    </xf>
    <xf numFmtId="0" fontId="52" fillId="0" borderId="28" xfId="2" applyFont="1" applyBorder="1" applyAlignment="1">
      <alignment horizontal="left" vertical="center" wrapText="1"/>
    </xf>
    <xf numFmtId="0" fontId="52" fillId="0" borderId="167" xfId="2" applyFont="1" applyBorder="1" applyAlignment="1">
      <alignment horizontal="left" vertical="center" wrapText="1"/>
    </xf>
    <xf numFmtId="0" fontId="55" fillId="2" borderId="152" xfId="2" applyFont="1" applyFill="1" applyBorder="1" applyAlignment="1">
      <alignment horizontal="left" vertical="center" wrapText="1"/>
    </xf>
    <xf numFmtId="0" fontId="55" fillId="2" borderId="86" xfId="2" applyFont="1" applyFill="1" applyBorder="1" applyAlignment="1">
      <alignment horizontal="left" vertical="center" wrapText="1"/>
    </xf>
    <xf numFmtId="0" fontId="55" fillId="2" borderId="144" xfId="2" applyFont="1" applyFill="1" applyBorder="1" applyAlignment="1">
      <alignment horizontal="left" vertical="center" wrapText="1"/>
    </xf>
    <xf numFmtId="0" fontId="52" fillId="0" borderId="86" xfId="7" applyFont="1" applyFill="1" applyBorder="1" applyAlignment="1">
      <alignment horizontal="left" vertical="center" wrapText="1"/>
    </xf>
    <xf numFmtId="0" fontId="52" fillId="0" borderId="144" xfId="7" applyFont="1" applyFill="1" applyBorder="1" applyAlignment="1">
      <alignment horizontal="left" vertical="center" wrapText="1"/>
    </xf>
    <xf numFmtId="0" fontId="55" fillId="2" borderId="153" xfId="2" applyFont="1" applyFill="1" applyBorder="1" applyAlignment="1">
      <alignment horizontal="center" vertical="center" wrapText="1"/>
    </xf>
    <xf numFmtId="0" fontId="55" fillId="2" borderId="25" xfId="2" applyFont="1" applyFill="1" applyBorder="1" applyAlignment="1">
      <alignment horizontal="center" vertical="center" wrapText="1"/>
    </xf>
    <xf numFmtId="0" fontId="55" fillId="2" borderId="48" xfId="2" applyFont="1" applyFill="1" applyBorder="1" applyAlignment="1">
      <alignment horizontal="center" vertical="center" wrapText="1"/>
    </xf>
    <xf numFmtId="0" fontId="52" fillId="0" borderId="107" xfId="2" applyFont="1" applyFill="1" applyBorder="1" applyAlignment="1">
      <alignment horizontal="left" vertical="center" wrapText="1"/>
    </xf>
    <xf numFmtId="0" fontId="52" fillId="0" borderId="25" xfId="2" applyFont="1" applyBorder="1" applyAlignment="1">
      <alignment horizontal="left" vertical="center" wrapText="1"/>
    </xf>
    <xf numFmtId="0" fontId="52" fillId="0" borderId="149" xfId="2" applyFont="1" applyBorder="1" applyAlignment="1">
      <alignment horizontal="left" vertical="center" wrapText="1"/>
    </xf>
    <xf numFmtId="0" fontId="52" fillId="2" borderId="123" xfId="2" applyFont="1" applyFill="1" applyBorder="1" applyAlignment="1">
      <alignment horizontal="left" wrapText="1"/>
    </xf>
    <xf numFmtId="0" fontId="52" fillId="2" borderId="0" xfId="2" applyFont="1" applyFill="1" applyBorder="1" applyAlignment="1">
      <alignment horizontal="left" wrapText="1"/>
    </xf>
    <xf numFmtId="0" fontId="52" fillId="2" borderId="33" xfId="2" applyFont="1" applyFill="1" applyBorder="1" applyAlignment="1">
      <alignment horizontal="left" wrapText="1"/>
    </xf>
    <xf numFmtId="0" fontId="113" fillId="10" borderId="120" xfId="168" applyFont="1" applyFill="1" applyBorder="1" applyAlignment="1">
      <alignment horizontal="center" vertical="center"/>
    </xf>
    <xf numFmtId="0" fontId="113" fillId="10" borderId="121" xfId="168" applyFont="1" applyFill="1" applyBorder="1" applyAlignment="1">
      <alignment horizontal="center" vertical="center"/>
    </xf>
    <xf numFmtId="0" fontId="113" fillId="10" borderId="122" xfId="168" applyFont="1" applyFill="1" applyBorder="1" applyAlignment="1">
      <alignment horizontal="center" vertical="center"/>
    </xf>
    <xf numFmtId="0" fontId="52" fillId="2" borderId="148" xfId="2" applyFont="1" applyFill="1" applyBorder="1" applyAlignment="1">
      <alignment horizontal="center" vertical="center" wrapText="1"/>
    </xf>
    <xf numFmtId="0" fontId="52" fillId="2" borderId="135" xfId="2" applyFont="1" applyFill="1" applyBorder="1" applyAlignment="1">
      <alignment horizontal="center" vertical="center" wrapText="1"/>
    </xf>
    <xf numFmtId="0" fontId="52" fillId="2" borderId="192" xfId="2" applyFont="1" applyFill="1" applyBorder="1" applyAlignment="1">
      <alignment horizontal="center" vertical="center" wrapText="1"/>
    </xf>
    <xf numFmtId="0" fontId="52" fillId="10" borderId="121" xfId="2" applyFont="1" applyFill="1" applyBorder="1" applyAlignment="1">
      <alignment horizontal="center" vertical="center"/>
    </xf>
    <xf numFmtId="0" fontId="52" fillId="10" borderId="122" xfId="2" applyFont="1" applyFill="1" applyBorder="1" applyAlignment="1">
      <alignment horizontal="center" vertical="center"/>
    </xf>
    <xf numFmtId="0" fontId="52" fillId="5" borderId="0" xfId="2" applyFont="1" applyFill="1" applyBorder="1" applyAlignment="1">
      <alignment horizontal="center" vertical="center" wrapText="1"/>
    </xf>
    <xf numFmtId="0" fontId="52" fillId="2" borderId="143" xfId="2" applyFont="1" applyFill="1" applyBorder="1" applyAlignment="1">
      <alignment horizontal="center" vertical="center" wrapText="1"/>
    </xf>
    <xf numFmtId="0" fontId="52" fillId="2" borderId="86" xfId="2" applyFont="1" applyFill="1" applyBorder="1" applyAlignment="1">
      <alignment horizontal="center" vertical="center" wrapText="1"/>
    </xf>
    <xf numFmtId="0" fontId="52" fillId="2" borderId="192" xfId="2" applyFont="1" applyFill="1" applyBorder="1" applyAlignment="1">
      <alignment vertical="center" wrapText="1"/>
    </xf>
    <xf numFmtId="0" fontId="55" fillId="2" borderId="130" xfId="2" applyFont="1" applyFill="1" applyBorder="1" applyAlignment="1">
      <alignment horizontal="left" vertical="center" wrapText="1"/>
    </xf>
    <xf numFmtId="0" fontId="52" fillId="2" borderId="37" xfId="2" applyFont="1" applyFill="1" applyBorder="1" applyAlignment="1">
      <alignment horizontal="left" vertical="center" wrapText="1"/>
    </xf>
    <xf numFmtId="0" fontId="52" fillId="2" borderId="31" xfId="2" applyFont="1" applyFill="1" applyBorder="1" applyAlignment="1">
      <alignment vertical="center" wrapText="1"/>
    </xf>
    <xf numFmtId="0" fontId="52" fillId="0" borderId="35" xfId="2" applyFont="1" applyFill="1" applyBorder="1" applyAlignment="1">
      <alignment horizontal="left" vertical="center" wrapText="1"/>
    </xf>
    <xf numFmtId="0" fontId="52" fillId="0" borderId="37" xfId="2" applyFont="1" applyFill="1" applyBorder="1" applyAlignment="1">
      <alignment horizontal="left" vertical="center" wrapText="1"/>
    </xf>
    <xf numFmtId="0" fontId="52" fillId="0" borderId="140" xfId="2" applyFont="1" applyFill="1" applyBorder="1" applyAlignment="1">
      <alignment horizontal="left" vertical="center" wrapText="1"/>
    </xf>
    <xf numFmtId="0" fontId="55" fillId="2" borderId="51" xfId="2" applyFont="1" applyFill="1" applyBorder="1" applyAlignment="1">
      <alignment horizontal="left" vertical="center" wrapText="1"/>
    </xf>
    <xf numFmtId="0" fontId="52" fillId="2" borderId="36" xfId="2" applyFont="1" applyFill="1" applyBorder="1" applyAlignment="1">
      <alignment horizontal="left" vertical="center" wrapText="1"/>
    </xf>
    <xf numFmtId="0" fontId="55" fillId="2" borderId="17" xfId="2" applyFont="1" applyFill="1" applyBorder="1" applyAlignment="1">
      <alignment horizontal="left" vertical="center" wrapText="1"/>
    </xf>
    <xf numFmtId="0" fontId="52" fillId="2" borderId="21" xfId="2" applyFont="1" applyFill="1" applyBorder="1" applyAlignment="1">
      <alignment horizontal="left" vertical="center" wrapText="1"/>
    </xf>
    <xf numFmtId="0" fontId="52" fillId="0" borderId="87" xfId="2" applyFont="1" applyFill="1" applyBorder="1" applyAlignment="1">
      <alignment horizontal="left" vertical="center" wrapText="1"/>
    </xf>
    <xf numFmtId="0" fontId="52" fillId="0" borderId="86" xfId="2" applyFont="1" applyFill="1" applyBorder="1" applyAlignment="1">
      <alignment horizontal="left" vertical="center" wrapText="1"/>
    </xf>
    <xf numFmtId="0" fontId="52" fillId="0" borderId="144" xfId="2" applyFont="1" applyFill="1" applyBorder="1" applyAlignment="1">
      <alignment horizontal="left" vertical="center" wrapText="1"/>
    </xf>
    <xf numFmtId="0" fontId="55" fillId="2" borderId="23" xfId="2" applyFont="1" applyFill="1" applyBorder="1" applyAlignment="1">
      <alignment horizontal="left" vertical="center" wrapText="1"/>
    </xf>
    <xf numFmtId="0" fontId="52" fillId="2" borderId="6" xfId="2" applyFont="1" applyFill="1" applyBorder="1" applyAlignment="1">
      <alignment horizontal="left" vertical="center" wrapText="1"/>
    </xf>
    <xf numFmtId="0" fontId="52" fillId="2" borderId="33" xfId="2" applyFont="1" applyFill="1" applyBorder="1" applyAlignment="1">
      <alignment vertical="center" wrapText="1"/>
    </xf>
    <xf numFmtId="0" fontId="52" fillId="0" borderId="35" xfId="2" applyFont="1" applyBorder="1" applyAlignment="1">
      <alignment horizontal="left" vertical="center" wrapText="1"/>
    </xf>
    <xf numFmtId="0" fontId="52" fillId="0" borderId="37" xfId="2" applyFont="1" applyBorder="1" applyAlignment="1">
      <alignment horizontal="left" vertical="center" wrapText="1"/>
    </xf>
    <xf numFmtId="0" fontId="52" fillId="0" borderId="140" xfId="2" applyFont="1" applyBorder="1" applyAlignment="1">
      <alignment horizontal="left" vertical="center" wrapText="1"/>
    </xf>
    <xf numFmtId="0" fontId="52" fillId="2" borderId="30" xfId="2" applyFont="1" applyFill="1" applyBorder="1" applyAlignment="1">
      <alignment horizontal="left" vertical="center" wrapText="1"/>
    </xf>
    <xf numFmtId="0" fontId="52" fillId="2" borderId="6" xfId="2" applyFont="1" applyFill="1" applyBorder="1" applyAlignment="1">
      <alignment vertical="center" wrapText="1"/>
    </xf>
    <xf numFmtId="0" fontId="55" fillId="10" borderId="153" xfId="2" applyFont="1" applyFill="1" applyBorder="1" applyAlignment="1">
      <alignment horizontal="center" vertical="center" wrapText="1"/>
    </xf>
    <xf numFmtId="0" fontId="55" fillId="10" borderId="25" xfId="2" applyFont="1" applyFill="1" applyBorder="1" applyAlignment="1">
      <alignment horizontal="center" vertical="center" wrapText="1"/>
    </xf>
    <xf numFmtId="0" fontId="55" fillId="10" borderId="149" xfId="2" applyFont="1" applyFill="1" applyBorder="1" applyAlignment="1">
      <alignment horizontal="center" vertical="center" wrapText="1"/>
    </xf>
    <xf numFmtId="0" fontId="55" fillId="2" borderId="20" xfId="2" applyFont="1" applyFill="1" applyBorder="1" applyAlignment="1">
      <alignment horizontal="left" vertical="center" wrapText="1"/>
    </xf>
    <xf numFmtId="0" fontId="52" fillId="2" borderId="49" xfId="2" applyFont="1" applyFill="1" applyBorder="1" applyAlignment="1">
      <alignment horizontal="left" vertical="center" wrapText="1"/>
    </xf>
    <xf numFmtId="0" fontId="52" fillId="2" borderId="49" xfId="2" applyFont="1" applyFill="1" applyBorder="1" applyAlignment="1">
      <alignment vertical="center" wrapText="1"/>
    </xf>
    <xf numFmtId="0" fontId="56" fillId="0" borderId="154" xfId="2" applyFont="1" applyFill="1" applyBorder="1" applyAlignment="1">
      <alignment horizontal="left" vertical="center" wrapText="1"/>
    </xf>
    <xf numFmtId="0" fontId="56" fillId="0" borderId="143" xfId="2" applyFont="1" applyFill="1" applyBorder="1" applyAlignment="1">
      <alignment horizontal="left" vertical="center" wrapText="1"/>
    </xf>
    <xf numFmtId="0" fontId="56" fillId="0" borderId="19" xfId="2" applyFont="1" applyFill="1" applyBorder="1" applyAlignment="1">
      <alignment horizontal="left" vertical="center" wrapText="1"/>
    </xf>
    <xf numFmtId="0" fontId="52" fillId="2" borderId="49" xfId="2" applyFont="1" applyFill="1" applyBorder="1" applyAlignment="1">
      <alignment horizontal="center" vertical="center" wrapText="1"/>
    </xf>
    <xf numFmtId="0" fontId="52" fillId="2" borderId="154" xfId="2" applyFont="1" applyFill="1" applyBorder="1" applyAlignment="1">
      <alignment horizontal="center" vertical="center" wrapText="1"/>
    </xf>
    <xf numFmtId="0" fontId="52" fillId="2" borderId="18" xfId="2" applyFont="1" applyFill="1" applyBorder="1" applyAlignment="1">
      <alignment horizontal="center" vertical="center" wrapText="1"/>
    </xf>
    <xf numFmtId="0" fontId="55" fillId="10" borderId="153" xfId="16" applyFont="1" applyFill="1" applyBorder="1" applyAlignment="1">
      <alignment horizontal="center" vertical="center" wrapText="1"/>
    </xf>
    <xf numFmtId="0" fontId="55" fillId="10" borderId="25" xfId="16" applyFont="1" applyFill="1" applyBorder="1" applyAlignment="1">
      <alignment horizontal="center" vertical="center" wrapText="1"/>
    </xf>
    <xf numFmtId="0" fontId="55" fillId="10" borderId="149" xfId="16" applyFont="1" applyFill="1" applyBorder="1" applyAlignment="1">
      <alignment horizontal="center" vertical="center" wrapText="1"/>
    </xf>
    <xf numFmtId="0" fontId="52" fillId="0" borderId="35" xfId="8" applyFont="1" applyFill="1" applyBorder="1" applyAlignment="1">
      <alignment horizontal="left" vertical="center" wrapText="1"/>
    </xf>
    <xf numFmtId="0" fontId="52" fillId="0" borderId="37" xfId="8" applyFont="1" applyFill="1" applyBorder="1" applyAlignment="1">
      <alignment horizontal="left" vertical="center" wrapText="1"/>
    </xf>
    <xf numFmtId="0" fontId="52" fillId="0" borderId="140" xfId="8" applyFont="1" applyFill="1" applyBorder="1" applyAlignment="1">
      <alignment horizontal="left" vertical="center" wrapText="1"/>
    </xf>
    <xf numFmtId="0" fontId="52" fillId="0" borderId="27" xfId="8" applyFont="1" applyFill="1" applyBorder="1" applyAlignment="1">
      <alignment horizontal="left" vertical="center" wrapText="1"/>
    </xf>
    <xf numFmtId="0" fontId="52" fillId="0" borderId="8" xfId="8" applyFont="1" applyFill="1" applyBorder="1" applyAlignment="1">
      <alignment horizontal="left" vertical="center" wrapText="1"/>
    </xf>
    <xf numFmtId="0" fontId="52" fillId="0" borderId="196" xfId="8" applyFont="1" applyFill="1" applyBorder="1" applyAlignment="1">
      <alignment horizontal="left" vertical="center" wrapText="1"/>
    </xf>
    <xf numFmtId="0" fontId="52" fillId="5" borderId="35" xfId="8" applyFont="1" applyFill="1" applyBorder="1" applyAlignment="1">
      <alignment horizontal="left" vertical="center" wrapText="1"/>
    </xf>
    <xf numFmtId="0" fontId="52" fillId="5" borderId="37" xfId="8" applyFont="1" applyFill="1" applyBorder="1" applyAlignment="1">
      <alignment horizontal="left" vertical="center" wrapText="1"/>
    </xf>
    <xf numFmtId="0" fontId="52" fillId="5" borderId="140" xfId="8" applyFont="1" applyFill="1" applyBorder="1" applyAlignment="1">
      <alignment horizontal="left" vertical="center" wrapText="1"/>
    </xf>
    <xf numFmtId="0" fontId="55" fillId="2" borderId="130" xfId="8" applyFont="1" applyFill="1" applyBorder="1" applyAlignment="1">
      <alignment horizontal="left" vertical="center" wrapText="1"/>
    </xf>
    <xf numFmtId="0" fontId="55" fillId="2" borderId="37" xfId="8" applyFont="1" applyFill="1" applyBorder="1" applyAlignment="1">
      <alignment horizontal="left" vertical="center" wrapText="1"/>
    </xf>
    <xf numFmtId="0" fontId="52" fillId="2" borderId="5" xfId="8" applyFont="1" applyFill="1" applyBorder="1" applyAlignment="1">
      <alignment horizontal="center" vertical="center" wrapText="1"/>
    </xf>
    <xf numFmtId="0" fontId="52" fillId="2" borderId="167" xfId="8" applyFont="1" applyFill="1" applyBorder="1" applyAlignment="1">
      <alignment horizontal="center" vertical="center" wrapText="1"/>
    </xf>
    <xf numFmtId="0" fontId="55" fillId="2" borderId="183" xfId="8" applyFont="1" applyFill="1" applyBorder="1" applyAlignment="1">
      <alignment horizontal="left" vertical="center" wrapText="1"/>
    </xf>
    <xf numFmtId="0" fontId="55" fillId="2" borderId="29" xfId="8" applyFont="1" applyFill="1" applyBorder="1" applyAlignment="1">
      <alignment horizontal="left" vertical="center" wrapText="1"/>
    </xf>
    <xf numFmtId="0" fontId="56" fillId="0" borderId="28" xfId="8" applyFont="1" applyFill="1" applyBorder="1" applyAlignment="1">
      <alignment horizontal="left" vertical="center" wrapText="1"/>
    </xf>
    <xf numFmtId="0" fontId="56" fillId="0" borderId="29" xfId="8" applyFont="1" applyFill="1" applyBorder="1" applyAlignment="1">
      <alignment horizontal="left" vertical="center" wrapText="1"/>
    </xf>
    <xf numFmtId="0" fontId="52" fillId="0" borderId="87" xfId="8" applyFont="1" applyFill="1" applyBorder="1" applyAlignment="1">
      <alignment horizontal="left" vertical="center" wrapText="1"/>
    </xf>
    <xf numFmtId="0" fontId="52" fillId="0" borderId="86" xfId="8" applyFont="1" applyFill="1" applyBorder="1" applyAlignment="1">
      <alignment horizontal="left" vertical="center" wrapText="1"/>
    </xf>
    <xf numFmtId="0" fontId="52" fillId="0" borderId="144" xfId="8" applyFont="1" applyFill="1" applyBorder="1" applyAlignment="1">
      <alignment horizontal="left" vertical="center" wrapText="1"/>
    </xf>
    <xf numFmtId="0" fontId="55" fillId="2" borderId="183" xfId="7" applyFont="1" applyFill="1" applyBorder="1" applyAlignment="1">
      <alignment horizontal="left" vertical="center" wrapText="1"/>
    </xf>
    <xf numFmtId="0" fontId="55" fillId="2" borderId="29" xfId="7" applyFont="1" applyFill="1" applyBorder="1" applyAlignment="1">
      <alignment horizontal="left" vertical="center" wrapText="1"/>
    </xf>
    <xf numFmtId="49" fontId="52" fillId="0" borderId="153" xfId="7" applyNumberFormat="1" applyFont="1" applyBorder="1" applyAlignment="1">
      <alignment horizontal="left" vertical="center" wrapText="1"/>
    </xf>
    <xf numFmtId="49" fontId="52" fillId="0" borderId="25" xfId="7" applyNumberFormat="1" applyFont="1" applyBorder="1" applyAlignment="1">
      <alignment horizontal="left" vertical="center" wrapText="1"/>
    </xf>
    <xf numFmtId="49" fontId="52" fillId="0" borderId="149" xfId="7" applyNumberFormat="1" applyFont="1" applyBorder="1" applyAlignment="1">
      <alignment horizontal="left" vertical="center" wrapText="1"/>
    </xf>
    <xf numFmtId="0" fontId="55" fillId="2" borderId="152" xfId="8" applyFont="1" applyFill="1" applyBorder="1" applyAlignment="1">
      <alignment horizontal="left" vertical="center" wrapText="1"/>
    </xf>
    <xf numFmtId="0" fontId="55" fillId="2" borderId="86" xfId="8" applyFont="1" applyFill="1" applyBorder="1" applyAlignment="1">
      <alignment horizontal="left" vertical="center" wrapText="1"/>
    </xf>
    <xf numFmtId="0" fontId="55" fillId="10" borderId="139" xfId="2" applyFont="1" applyFill="1" applyBorder="1" applyAlignment="1">
      <alignment horizontal="center"/>
    </xf>
    <xf numFmtId="0" fontId="55" fillId="10" borderId="143" xfId="2" applyFont="1" applyFill="1" applyBorder="1" applyAlignment="1">
      <alignment horizontal="center"/>
    </xf>
    <xf numFmtId="0" fontId="55" fillId="10" borderId="113" xfId="2" applyFont="1" applyFill="1" applyBorder="1" applyAlignment="1">
      <alignment horizontal="center"/>
    </xf>
    <xf numFmtId="0" fontId="55" fillId="10" borderId="123" xfId="2" applyFont="1" applyFill="1" applyBorder="1" applyAlignment="1">
      <alignment horizontal="center"/>
    </xf>
    <xf numFmtId="0" fontId="55" fillId="10" borderId="0" xfId="2" applyFont="1" applyFill="1" applyBorder="1" applyAlignment="1">
      <alignment horizontal="center"/>
    </xf>
    <xf numFmtId="0" fontId="55" fillId="10" borderId="103" xfId="2" applyFont="1" applyFill="1" applyBorder="1" applyAlignment="1">
      <alignment horizontal="center"/>
    </xf>
    <xf numFmtId="0" fontId="52" fillId="2" borderId="147" xfId="2" applyFont="1" applyFill="1" applyBorder="1" applyAlignment="1">
      <alignment horizontal="center" vertical="center"/>
    </xf>
    <xf numFmtId="0" fontId="52" fillId="2" borderId="116" xfId="2" applyFont="1" applyFill="1" applyBorder="1" applyAlignment="1">
      <alignment horizontal="center" vertical="center"/>
    </xf>
    <xf numFmtId="0" fontId="52" fillId="2" borderId="150" xfId="2" applyFont="1" applyFill="1" applyBorder="1" applyAlignment="1">
      <alignment horizontal="center" vertical="center" wrapText="1"/>
    </xf>
    <xf numFmtId="0" fontId="52" fillId="2" borderId="39" xfId="2" applyFont="1" applyFill="1" applyBorder="1" applyAlignment="1">
      <alignment horizontal="center" vertical="center" wrapText="1"/>
    </xf>
    <xf numFmtId="0" fontId="52" fillId="2" borderId="194" xfId="2" applyFont="1" applyFill="1" applyBorder="1" applyAlignment="1">
      <alignment horizontal="center" vertical="center" wrapText="1"/>
    </xf>
    <xf numFmtId="0" fontId="52" fillId="2" borderId="108" xfId="2" applyFont="1" applyFill="1" applyBorder="1" applyAlignment="1">
      <alignment horizontal="center" vertical="center" wrapText="1"/>
    </xf>
    <xf numFmtId="0" fontId="55" fillId="2" borderId="130" xfId="7" applyFont="1" applyFill="1" applyBorder="1" applyAlignment="1">
      <alignment horizontal="left" vertical="center" wrapText="1"/>
    </xf>
    <xf numFmtId="0" fontId="55" fillId="2" borderId="37" xfId="7" applyFont="1" applyFill="1" applyBorder="1" applyAlignment="1">
      <alignment horizontal="left" vertical="center" wrapText="1"/>
    </xf>
    <xf numFmtId="0" fontId="55" fillId="2" borderId="31" xfId="7" applyFont="1" applyFill="1" applyBorder="1" applyAlignment="1">
      <alignment horizontal="left" vertical="center" wrapText="1"/>
    </xf>
    <xf numFmtId="0" fontId="55" fillId="2" borderId="236" xfId="7" applyFont="1" applyFill="1" applyBorder="1" applyAlignment="1">
      <alignment horizontal="left" vertical="center" wrapText="1"/>
    </xf>
    <xf numFmtId="0" fontId="55" fillId="2" borderId="69" xfId="7" applyFont="1" applyFill="1" applyBorder="1" applyAlignment="1">
      <alignment horizontal="left" vertical="center" wrapText="1"/>
    </xf>
    <xf numFmtId="0" fontId="55" fillId="2" borderId="67" xfId="7" applyFont="1" applyFill="1" applyBorder="1" applyAlignment="1">
      <alignment horizontal="left" vertical="center" wrapText="1"/>
    </xf>
    <xf numFmtId="49" fontId="52" fillId="5" borderId="28" xfId="7" applyNumberFormat="1" applyFont="1" applyFill="1" applyBorder="1" applyAlignment="1">
      <alignment horizontal="left" vertical="center" wrapText="1"/>
    </xf>
    <xf numFmtId="49" fontId="52" fillId="5" borderId="29" xfId="7" applyNumberFormat="1" applyFont="1" applyFill="1" applyBorder="1" applyAlignment="1">
      <alignment horizontal="left" vertical="center" wrapText="1"/>
    </xf>
    <xf numFmtId="49" fontId="52" fillId="5" borderId="106" xfId="7" applyNumberFormat="1" applyFont="1" applyFill="1" applyBorder="1" applyAlignment="1">
      <alignment horizontal="left" vertical="center" wrapText="1"/>
    </xf>
    <xf numFmtId="49" fontId="52" fillId="0" borderId="71" xfId="7" applyNumberFormat="1" applyFont="1" applyFill="1" applyBorder="1" applyAlignment="1">
      <alignment horizontal="left" vertical="center" wrapText="1"/>
    </xf>
    <xf numFmtId="49" fontId="52" fillId="0" borderId="69" xfId="7" applyNumberFormat="1" applyFont="1" applyFill="1" applyBorder="1" applyAlignment="1">
      <alignment horizontal="left" vertical="center" wrapText="1"/>
    </xf>
    <xf numFmtId="49" fontId="52" fillId="0" borderId="237" xfId="7" applyNumberFormat="1" applyFont="1" applyFill="1" applyBorder="1" applyAlignment="1">
      <alignment horizontal="left" vertical="center" wrapText="1"/>
    </xf>
    <xf numFmtId="0" fontId="55" fillId="2" borderId="152" xfId="7" applyFont="1" applyFill="1" applyBorder="1" applyAlignment="1">
      <alignment horizontal="left" vertical="center" wrapText="1"/>
    </xf>
    <xf numFmtId="0" fontId="55" fillId="2" borderId="86" xfId="7" applyFont="1" applyFill="1" applyBorder="1" applyAlignment="1">
      <alignment horizontal="left" vertical="center" wrapText="1"/>
    </xf>
    <xf numFmtId="0" fontId="55" fillId="2" borderId="16" xfId="7" applyFont="1" applyFill="1" applyBorder="1" applyAlignment="1">
      <alignment horizontal="left" vertical="center" wrapText="1"/>
    </xf>
    <xf numFmtId="0" fontId="52" fillId="0" borderId="87" xfId="7" applyNumberFormat="1" applyFont="1" applyBorder="1" applyAlignment="1">
      <alignment horizontal="left" vertical="center" wrapText="1"/>
    </xf>
    <xf numFmtId="0" fontId="52" fillId="0" borderId="86" xfId="7" applyNumberFormat="1" applyFont="1" applyBorder="1" applyAlignment="1">
      <alignment horizontal="left" vertical="center" wrapText="1"/>
    </xf>
    <xf numFmtId="0" fontId="52" fillId="0" borderId="144" xfId="7" applyNumberFormat="1" applyFont="1" applyBorder="1" applyAlignment="1">
      <alignment horizontal="left" vertical="center" wrapText="1"/>
    </xf>
    <xf numFmtId="0" fontId="52" fillId="0" borderId="35" xfId="7" applyFont="1" applyFill="1" applyBorder="1" applyAlignment="1">
      <alignment horizontal="left" vertical="center" wrapText="1"/>
    </xf>
    <xf numFmtId="0" fontId="52" fillId="0" borderId="37" xfId="7" applyFont="1" applyFill="1" applyBorder="1" applyAlignment="1">
      <alignment horizontal="left" vertical="center" wrapText="1"/>
    </xf>
    <xf numFmtId="0" fontId="52" fillId="0" borderId="140" xfId="7" applyFont="1" applyFill="1" applyBorder="1" applyAlignment="1">
      <alignment horizontal="left" vertical="center" wrapText="1"/>
    </xf>
    <xf numFmtId="0" fontId="52" fillId="0" borderId="35" xfId="7" applyFont="1" applyFill="1" applyBorder="1" applyAlignment="1">
      <alignment horizontal="center" vertical="center" wrapText="1"/>
    </xf>
    <xf numFmtId="0" fontId="52" fillId="0" borderId="37" xfId="7" applyFont="1" applyFill="1" applyBorder="1" applyAlignment="1">
      <alignment horizontal="center" vertical="center" wrapText="1"/>
    </xf>
    <xf numFmtId="0" fontId="52" fillId="0" borderId="140" xfId="7" applyFont="1" applyFill="1" applyBorder="1" applyAlignment="1">
      <alignment horizontal="center" vertical="center" wrapText="1"/>
    </xf>
    <xf numFmtId="0" fontId="52" fillId="0" borderId="35" xfId="7" applyFont="1" applyBorder="1" applyAlignment="1">
      <alignment horizontal="left" vertical="center" wrapText="1"/>
    </xf>
    <xf numFmtId="0" fontId="52" fillId="0" borderId="37" xfId="7" applyFont="1" applyBorder="1" applyAlignment="1">
      <alignment horizontal="left" vertical="center" wrapText="1"/>
    </xf>
    <xf numFmtId="0" fontId="52" fillId="0" borderId="140" xfId="7" applyFont="1" applyBorder="1" applyAlignment="1">
      <alignment horizontal="left" vertical="center" wrapText="1"/>
    </xf>
    <xf numFmtId="0" fontId="56" fillId="0" borderId="30" xfId="7" applyFont="1" applyFill="1" applyBorder="1" applyAlignment="1">
      <alignment horizontal="left" vertical="center" wrapText="1"/>
    </xf>
    <xf numFmtId="0" fontId="56" fillId="0" borderId="0" xfId="7" applyFont="1" applyFill="1" applyBorder="1" applyAlignment="1">
      <alignment horizontal="left" vertical="center" wrapText="1"/>
    </xf>
    <xf numFmtId="0" fontId="56" fillId="0" borderId="33" xfId="7" applyFont="1" applyFill="1" applyBorder="1" applyAlignment="1">
      <alignment horizontal="left" vertical="center" wrapText="1"/>
    </xf>
    <xf numFmtId="0" fontId="52" fillId="2" borderId="30" xfId="7" applyFont="1" applyFill="1" applyBorder="1" applyAlignment="1">
      <alignment horizontal="center" vertical="center" wrapText="1"/>
    </xf>
    <xf numFmtId="0" fontId="52" fillId="2" borderId="103" xfId="7" applyFont="1" applyFill="1" applyBorder="1" applyAlignment="1">
      <alignment horizontal="center" vertical="center" wrapText="1"/>
    </xf>
    <xf numFmtId="49" fontId="52" fillId="0" borderId="28" xfId="7" applyNumberFormat="1" applyFont="1" applyBorder="1" applyAlignment="1">
      <alignment horizontal="left" vertical="center" wrapText="1"/>
    </xf>
    <xf numFmtId="49" fontId="52" fillId="0" borderId="29" xfId="7" applyNumberFormat="1" applyFont="1" applyBorder="1" applyAlignment="1">
      <alignment horizontal="left" vertical="center" wrapText="1"/>
    </xf>
    <xf numFmtId="49" fontId="52" fillId="0" borderId="106" xfId="7" applyNumberFormat="1" applyFont="1" applyBorder="1" applyAlignment="1">
      <alignment horizontal="left" vertical="center" wrapText="1"/>
    </xf>
    <xf numFmtId="49" fontId="52" fillId="5" borderId="35" xfId="7" applyNumberFormat="1" applyFont="1" applyFill="1" applyBorder="1" applyAlignment="1">
      <alignment horizontal="left" vertical="center" wrapText="1"/>
    </xf>
    <xf numFmtId="49" fontId="52" fillId="5" borderId="37" xfId="7" applyNumberFormat="1" applyFont="1" applyFill="1" applyBorder="1" applyAlignment="1">
      <alignment horizontal="left" vertical="center" wrapText="1"/>
    </xf>
    <xf numFmtId="49" fontId="52" fillId="5" borderId="140" xfId="7" applyNumberFormat="1" applyFont="1" applyFill="1" applyBorder="1" applyAlignment="1">
      <alignment horizontal="left" vertical="center" wrapText="1"/>
    </xf>
    <xf numFmtId="49" fontId="52" fillId="0" borderId="87" xfId="7" applyNumberFormat="1" applyFont="1" applyBorder="1" applyAlignment="1">
      <alignment horizontal="left" vertical="center" wrapText="1"/>
    </xf>
    <xf numFmtId="49" fontId="52" fillId="0" borderId="86" xfId="7" applyNumberFormat="1" applyFont="1" applyBorder="1" applyAlignment="1">
      <alignment horizontal="left" vertical="center" wrapText="1"/>
    </xf>
    <xf numFmtId="49" fontId="52" fillId="0" borderId="144" xfId="7" applyNumberFormat="1" applyFont="1" applyBorder="1" applyAlignment="1">
      <alignment horizontal="left" vertical="center" wrapText="1"/>
    </xf>
    <xf numFmtId="0" fontId="52" fillId="5" borderId="35" xfId="7" applyFont="1" applyFill="1" applyBorder="1" applyAlignment="1">
      <alignment horizontal="left" vertical="center" wrapText="1"/>
    </xf>
    <xf numFmtId="0" fontId="52" fillId="5" borderId="37" xfId="7" applyFont="1" applyFill="1" applyBorder="1" applyAlignment="1">
      <alignment horizontal="left" vertical="center" wrapText="1"/>
    </xf>
    <xf numFmtId="0" fontId="52" fillId="5" borderId="140" xfId="7" applyFont="1" applyFill="1" applyBorder="1" applyAlignment="1">
      <alignment horizontal="left" vertical="center" wrapText="1"/>
    </xf>
    <xf numFmtId="0" fontId="52" fillId="0" borderId="87" xfId="7" applyFont="1" applyFill="1" applyBorder="1" applyAlignment="1">
      <alignment horizontal="left" vertical="center" wrapText="1"/>
    </xf>
    <xf numFmtId="17" fontId="55" fillId="0" borderId="0" xfId="7" applyNumberFormat="1" applyFont="1" applyFill="1" applyBorder="1" applyAlignment="1">
      <alignment horizontal="center" wrapText="1"/>
    </xf>
    <xf numFmtId="0" fontId="114" fillId="10" borderId="120" xfId="168" applyFont="1" applyFill="1" applyBorder="1" applyAlignment="1">
      <alignment horizontal="center"/>
    </xf>
    <xf numFmtId="0" fontId="114" fillId="10" borderId="121" xfId="168" applyFont="1" applyFill="1" applyBorder="1" applyAlignment="1">
      <alignment horizontal="center"/>
    </xf>
    <xf numFmtId="0" fontId="114" fillId="10" borderId="122" xfId="168" applyFont="1" applyFill="1" applyBorder="1" applyAlignment="1">
      <alignment horizontal="center"/>
    </xf>
    <xf numFmtId="0" fontId="52" fillId="2" borderId="21" xfId="2" applyFont="1" applyFill="1" applyBorder="1" applyAlignment="1">
      <alignment vertical="center" wrapText="1"/>
    </xf>
    <xf numFmtId="0" fontId="55" fillId="2" borderId="34" xfId="7" applyFont="1" applyFill="1" applyBorder="1" applyAlignment="1">
      <alignment horizontal="left" vertical="center" wrapText="1"/>
    </xf>
    <xf numFmtId="0" fontId="52" fillId="2" borderId="15" xfId="2" applyFont="1" applyFill="1" applyBorder="1" applyAlignment="1">
      <alignment vertical="center" wrapText="1"/>
    </xf>
    <xf numFmtId="0" fontId="129" fillId="10" borderId="153" xfId="0" applyFont="1" applyFill="1" applyBorder="1" applyAlignment="1">
      <alignment horizontal="center" vertical="center"/>
    </xf>
    <xf numFmtId="0" fontId="129" fillId="10" borderId="25" xfId="0" applyFont="1" applyFill="1" applyBorder="1" applyAlignment="1">
      <alignment horizontal="center" vertical="center"/>
    </xf>
    <xf numFmtId="0" fontId="129" fillId="10" borderId="149" xfId="0" applyFont="1" applyFill="1" applyBorder="1" applyAlignment="1">
      <alignment horizontal="center" vertical="center"/>
    </xf>
    <xf numFmtId="0" fontId="129" fillId="0" borderId="154" xfId="0" applyFont="1" applyFill="1" applyBorder="1" applyAlignment="1">
      <alignment horizontal="left" vertical="center"/>
    </xf>
    <xf numFmtId="0" fontId="129" fillId="0" borderId="143" xfId="0" applyFont="1" applyFill="1" applyBorder="1" applyAlignment="1">
      <alignment horizontal="left" vertical="center"/>
    </xf>
    <xf numFmtId="0" fontId="129" fillId="0" borderId="19" xfId="0" applyFont="1" applyFill="1" applyBorder="1" applyAlignment="1">
      <alignment horizontal="left" vertical="center"/>
    </xf>
    <xf numFmtId="0" fontId="115" fillId="7" borderId="132" xfId="0" applyFont="1" applyFill="1" applyBorder="1" applyAlignment="1">
      <alignment horizontal="center" vertical="center" wrapText="1"/>
    </xf>
    <xf numFmtId="0" fontId="115" fillId="7" borderId="145" xfId="0" applyFont="1" applyFill="1" applyBorder="1" applyAlignment="1">
      <alignment horizontal="center" vertical="center" wrapText="1"/>
    </xf>
    <xf numFmtId="0" fontId="121" fillId="7" borderId="153" xfId="0" applyFont="1" applyFill="1" applyBorder="1" applyAlignment="1">
      <alignment horizontal="center"/>
    </xf>
    <xf numFmtId="0" fontId="121" fillId="7" borderId="25" xfId="0" applyFont="1" applyFill="1" applyBorder="1" applyAlignment="1">
      <alignment horizontal="center"/>
    </xf>
    <xf numFmtId="0" fontId="121" fillId="7" borderId="149" xfId="0" applyFont="1" applyFill="1" applyBorder="1" applyAlignment="1">
      <alignment horizontal="center"/>
    </xf>
    <xf numFmtId="0" fontId="132" fillId="5" borderId="0" xfId="0" applyFont="1" applyFill="1" applyBorder="1" applyAlignment="1">
      <alignment horizontal="center" vertical="center" wrapText="1"/>
    </xf>
    <xf numFmtId="0" fontId="115" fillId="5" borderId="87" xfId="0" applyFont="1" applyFill="1" applyBorder="1" applyAlignment="1">
      <alignment horizontal="left" vertical="center" wrapText="1"/>
    </xf>
    <xf numFmtId="0" fontId="115" fillId="5" borderId="86" xfId="0" applyFont="1" applyFill="1" applyBorder="1" applyAlignment="1">
      <alignment horizontal="left" vertical="center" wrapText="1"/>
    </xf>
    <xf numFmtId="0" fontId="115" fillId="5" borderId="144" xfId="0" applyFont="1" applyFill="1" applyBorder="1" applyAlignment="1">
      <alignment horizontal="left" vertical="center" wrapText="1"/>
    </xf>
    <xf numFmtId="0" fontId="115" fillId="0" borderId="35" xfId="0" applyFont="1" applyFill="1" applyBorder="1" applyAlignment="1">
      <alignment horizontal="left" vertical="center"/>
    </xf>
    <xf numFmtId="0" fontId="115" fillId="0" borderId="37" xfId="0" applyFont="1" applyFill="1" applyBorder="1" applyAlignment="1">
      <alignment horizontal="left" vertical="center"/>
    </xf>
    <xf numFmtId="0" fontId="115" fillId="0" borderId="140" xfId="0" applyFont="1" applyFill="1" applyBorder="1" applyAlignment="1">
      <alignment horizontal="left" vertical="center"/>
    </xf>
    <xf numFmtId="0" fontId="115" fillId="0" borderId="87" xfId="0" applyFont="1" applyFill="1" applyBorder="1" applyAlignment="1">
      <alignment horizontal="justify" vertical="center" wrapText="1"/>
    </xf>
    <xf numFmtId="0" fontId="115" fillId="0" borderId="86" xfId="0" applyFont="1" applyFill="1" applyBorder="1" applyAlignment="1">
      <alignment horizontal="justify" vertical="center" wrapText="1"/>
    </xf>
    <xf numFmtId="0" fontId="115" fillId="0" borderId="144" xfId="0" applyFont="1" applyFill="1" applyBorder="1" applyAlignment="1">
      <alignment horizontal="justify" vertical="center" wrapText="1"/>
    </xf>
    <xf numFmtId="0" fontId="115" fillId="10" borderId="24" xfId="0" applyFont="1" applyFill="1" applyBorder="1" applyAlignment="1">
      <alignment horizontal="center" vertical="center" wrapText="1"/>
    </xf>
    <xf numFmtId="0" fontId="115" fillId="10" borderId="17" xfId="0" applyFont="1" applyFill="1" applyBorder="1" applyAlignment="1">
      <alignment horizontal="center" vertical="center" wrapText="1"/>
    </xf>
    <xf numFmtId="0" fontId="115" fillId="10" borderId="5" xfId="0" applyFont="1" applyFill="1" applyBorder="1" applyAlignment="1">
      <alignment horizontal="center" vertical="center" wrapText="1"/>
    </xf>
    <xf numFmtId="0" fontId="115" fillId="10" borderId="21" xfId="0" applyFont="1" applyFill="1" applyBorder="1" applyAlignment="1">
      <alignment horizontal="center" vertical="center" wrapText="1"/>
    </xf>
    <xf numFmtId="0" fontId="123" fillId="0" borderId="23" xfId="2" applyFont="1" applyBorder="1" applyAlignment="1">
      <alignment horizontal="left" vertical="center" wrapText="1"/>
    </xf>
    <xf numFmtId="0" fontId="123" fillId="0" borderId="6" xfId="2" applyFont="1" applyBorder="1" applyAlignment="1">
      <alignment horizontal="left" vertical="center" wrapText="1"/>
    </xf>
    <xf numFmtId="0" fontId="123" fillId="0" borderId="50" xfId="2" applyFont="1" applyBorder="1" applyAlignment="1">
      <alignment horizontal="left" vertical="center" wrapText="1"/>
    </xf>
    <xf numFmtId="0" fontId="123" fillId="0" borderId="7" xfId="2" applyFont="1" applyBorder="1" applyAlignment="1">
      <alignment horizontal="left" vertical="center" wrapText="1"/>
    </xf>
    <xf numFmtId="0" fontId="52" fillId="2" borderId="92" xfId="2" applyFont="1" applyFill="1" applyBorder="1" applyAlignment="1">
      <alignment horizontal="center" wrapText="1"/>
    </xf>
    <xf numFmtId="0" fontId="52" fillId="2" borderId="25" xfId="2" applyFont="1" applyFill="1" applyBorder="1" applyAlignment="1">
      <alignment horizontal="center" wrapText="1"/>
    </xf>
    <xf numFmtId="0" fontId="52" fillId="2" borderId="48" xfId="2" applyFont="1" applyFill="1" applyBorder="1" applyAlignment="1">
      <alignment horizontal="center" wrapText="1"/>
    </xf>
    <xf numFmtId="0" fontId="123" fillId="0" borderId="130" xfId="2" applyFont="1" applyBorder="1" applyAlignment="1">
      <alignment horizontal="left" vertical="center" wrapText="1"/>
    </xf>
    <xf numFmtId="0" fontId="123" fillId="0" borderId="37" xfId="2" applyFont="1" applyBorder="1" applyAlignment="1">
      <alignment horizontal="left" vertical="center" wrapText="1"/>
    </xf>
    <xf numFmtId="0" fontId="123" fillId="0" borderId="31" xfId="2" applyFont="1" applyBorder="1" applyAlignment="1">
      <alignment horizontal="left" vertical="center" wrapText="1"/>
    </xf>
    <xf numFmtId="0" fontId="138" fillId="0" borderId="66" xfId="2" applyFont="1" applyBorder="1" applyAlignment="1">
      <alignment horizontal="left" vertical="center"/>
    </xf>
    <xf numFmtId="0" fontId="138" fillId="0" borderId="37" xfId="2" applyFont="1" applyBorder="1" applyAlignment="1">
      <alignment horizontal="left" vertical="center"/>
    </xf>
    <xf numFmtId="0" fontId="138" fillId="0" borderId="31" xfId="2" applyFont="1" applyBorder="1" applyAlignment="1">
      <alignment horizontal="left" vertical="center"/>
    </xf>
    <xf numFmtId="0" fontId="138" fillId="0" borderId="153" xfId="2" applyFont="1" applyBorder="1" applyAlignment="1">
      <alignment horizontal="left" vertical="center"/>
    </xf>
    <xf numFmtId="0" fontId="138" fillId="0" borderId="25" xfId="2" applyFont="1" applyBorder="1" applyAlignment="1">
      <alignment horizontal="left" vertical="center"/>
    </xf>
    <xf numFmtId="0" fontId="138" fillId="0" borderId="48" xfId="2" applyFont="1" applyBorder="1" applyAlignment="1">
      <alignment horizontal="left" vertical="center"/>
    </xf>
    <xf numFmtId="0" fontId="123" fillId="0" borderId="66" xfId="2" applyFont="1" applyBorder="1" applyAlignment="1">
      <alignment horizontal="left" vertical="center" wrapText="1"/>
    </xf>
    <xf numFmtId="0" fontId="123" fillId="0" borderId="66" xfId="2" applyFont="1" applyFill="1" applyBorder="1" applyAlignment="1">
      <alignment horizontal="left" vertical="center" wrapText="1"/>
    </xf>
    <xf numFmtId="0" fontId="123" fillId="0" borderId="37" xfId="2" applyFont="1" applyFill="1" applyBorder="1" applyAlignment="1">
      <alignment horizontal="left" vertical="center" wrapText="1"/>
    </xf>
    <xf numFmtId="0" fontId="123" fillId="0" borderId="31" xfId="2" applyFont="1" applyFill="1" applyBorder="1" applyAlignment="1">
      <alignment horizontal="left" vertical="center" wrapText="1"/>
    </xf>
    <xf numFmtId="0" fontId="123" fillId="0" borderId="23" xfId="2" applyFont="1" applyFill="1" applyBorder="1" applyAlignment="1">
      <alignment horizontal="left" vertical="center" wrapText="1"/>
    </xf>
    <xf numFmtId="0" fontId="123" fillId="0" borderId="6" xfId="2" applyFont="1" applyFill="1" applyBorder="1" applyAlignment="1">
      <alignment horizontal="left" vertical="center" wrapText="1"/>
    </xf>
    <xf numFmtId="0" fontId="138" fillId="0" borderId="14" xfId="2" applyFont="1" applyBorder="1" applyAlignment="1">
      <alignment horizontal="left" vertical="center"/>
    </xf>
    <xf numFmtId="0" fontId="138" fillId="0" borderId="13" xfId="2" applyFont="1" applyBorder="1" applyAlignment="1">
      <alignment horizontal="left" vertical="center"/>
    </xf>
    <xf numFmtId="0" fontId="55" fillId="2" borderId="77" xfId="2" applyFont="1" applyFill="1" applyBorder="1" applyAlignment="1">
      <alignment horizontal="left" vertical="center" wrapText="1"/>
    </xf>
    <xf numFmtId="0" fontId="52" fillId="2" borderId="5" xfId="2" applyFont="1" applyFill="1" applyBorder="1" applyAlignment="1">
      <alignment horizontal="left" vertical="center" wrapText="1"/>
    </xf>
    <xf numFmtId="0" fontId="52" fillId="2" borderId="5" xfId="2" applyFont="1" applyFill="1" applyBorder="1" applyAlignment="1">
      <alignment vertical="center" wrapText="1"/>
    </xf>
    <xf numFmtId="49" fontId="52" fillId="0" borderId="5" xfId="2" applyNumberFormat="1" applyFont="1" applyFill="1" applyBorder="1" applyAlignment="1">
      <alignment horizontal="justify" vertical="center" wrapText="1"/>
    </xf>
    <xf numFmtId="49" fontId="68" fillId="0" borderId="5" xfId="2" applyNumberFormat="1" applyFont="1" applyBorder="1" applyAlignment="1">
      <alignment vertical="center" wrapText="1"/>
    </xf>
    <xf numFmtId="49" fontId="68" fillId="0" borderId="74" xfId="2" applyNumberFormat="1" applyFont="1" applyBorder="1" applyAlignment="1">
      <alignment vertical="center" wrapText="1"/>
    </xf>
    <xf numFmtId="0" fontId="55" fillId="2" borderId="100" xfId="2" applyFont="1" applyFill="1" applyBorder="1" applyAlignment="1">
      <alignment horizontal="left" vertical="center" wrapText="1"/>
    </xf>
    <xf numFmtId="0" fontId="52" fillId="0" borderId="21" xfId="2" applyFont="1" applyFill="1" applyBorder="1" applyAlignment="1">
      <alignment horizontal="left" vertical="center" wrapText="1"/>
    </xf>
    <xf numFmtId="0" fontId="52" fillId="0" borderId="21" xfId="2" applyFont="1" applyBorder="1" applyAlignment="1">
      <alignment horizontal="left" vertical="center" wrapText="1"/>
    </xf>
    <xf numFmtId="0" fontId="52" fillId="0" borderId="101" xfId="2" applyFont="1" applyBorder="1" applyAlignment="1">
      <alignment horizontal="left" vertical="center" wrapText="1"/>
    </xf>
    <xf numFmtId="0" fontId="55" fillId="2" borderId="90" xfId="2" applyFont="1" applyFill="1" applyBorder="1" applyAlignment="1">
      <alignment horizontal="left" vertical="center" wrapText="1"/>
    </xf>
    <xf numFmtId="0" fontId="52" fillId="2" borderId="13" xfId="2" applyFont="1" applyFill="1" applyBorder="1" applyAlignment="1">
      <alignment horizontal="left" vertical="center" wrapText="1"/>
    </xf>
    <xf numFmtId="0" fontId="52" fillId="0" borderId="13" xfId="2" applyFont="1" applyFill="1" applyBorder="1" applyAlignment="1">
      <alignment horizontal="left" vertical="center" wrapText="1"/>
    </xf>
    <xf numFmtId="0" fontId="52" fillId="0" borderId="13" xfId="2" applyFont="1" applyBorder="1" applyAlignment="1">
      <alignment horizontal="left" vertical="center" wrapText="1"/>
    </xf>
    <xf numFmtId="0" fontId="52" fillId="0" borderId="91" xfId="2" applyFont="1" applyBorder="1" applyAlignment="1">
      <alignment horizontal="left" vertical="center" wrapText="1"/>
    </xf>
    <xf numFmtId="0" fontId="55" fillId="10" borderId="120" xfId="2" applyFont="1" applyFill="1" applyBorder="1" applyAlignment="1">
      <alignment horizontal="center" vertical="center"/>
    </xf>
    <xf numFmtId="0" fontId="55" fillId="10" borderId="121" xfId="2" applyFont="1" applyFill="1" applyBorder="1" applyAlignment="1">
      <alignment horizontal="center" vertical="center"/>
    </xf>
    <xf numFmtId="0" fontId="55" fillId="10" borderId="122" xfId="2" applyFont="1" applyFill="1" applyBorder="1" applyAlignment="1">
      <alignment horizontal="center" vertical="center"/>
    </xf>
    <xf numFmtId="0" fontId="52" fillId="2" borderId="51" xfId="2" applyFont="1" applyFill="1" applyBorder="1" applyAlignment="1">
      <alignment horizontal="center" vertical="center"/>
    </xf>
    <xf numFmtId="0" fontId="52" fillId="2" borderId="151" xfId="2" applyFont="1" applyFill="1" applyBorder="1" applyAlignment="1">
      <alignment horizontal="center" vertical="center" wrapText="1"/>
    </xf>
    <xf numFmtId="0" fontId="52" fillId="2" borderId="36" xfId="2" applyFont="1" applyFill="1" applyBorder="1" applyAlignment="1">
      <alignment horizontal="center" vertical="center" wrapText="1"/>
    </xf>
    <xf numFmtId="0" fontId="52" fillId="10" borderId="154" xfId="2" applyFont="1" applyFill="1" applyBorder="1" applyAlignment="1">
      <alignment horizontal="center"/>
    </xf>
    <xf numFmtId="0" fontId="52" fillId="10" borderId="19" xfId="2" applyFont="1" applyFill="1" applyBorder="1" applyAlignment="1">
      <alignment horizontal="center"/>
    </xf>
    <xf numFmtId="0" fontId="52" fillId="2" borderId="22" xfId="2" applyFont="1" applyFill="1" applyBorder="1" applyAlignment="1">
      <alignment horizontal="center" vertical="center" wrapText="1"/>
    </xf>
    <xf numFmtId="0" fontId="52" fillId="2" borderId="15" xfId="2" applyFont="1" applyFill="1" applyBorder="1" applyAlignment="1">
      <alignment horizontal="center" vertical="center" wrapText="1"/>
    </xf>
    <xf numFmtId="0" fontId="52" fillId="2" borderId="34" xfId="2" applyFont="1" applyFill="1" applyBorder="1" applyAlignment="1">
      <alignment horizontal="center" vertical="center" wrapText="1"/>
    </xf>
    <xf numFmtId="0" fontId="52" fillId="2" borderId="16" xfId="2" applyFont="1" applyFill="1" applyBorder="1" applyAlignment="1">
      <alignment horizontal="center" vertical="center" wrapText="1"/>
    </xf>
    <xf numFmtId="0" fontId="52" fillId="2" borderId="28" xfId="2" applyFont="1" applyFill="1" applyBorder="1" applyAlignment="1">
      <alignment horizontal="center" vertical="center" wrapText="1"/>
    </xf>
    <xf numFmtId="0" fontId="52" fillId="2" borderId="87" xfId="2" applyFont="1" applyFill="1" applyBorder="1" applyAlignment="1">
      <alignment vertical="center" wrapText="1"/>
    </xf>
    <xf numFmtId="0" fontId="55" fillId="2" borderId="57" xfId="2" applyFont="1" applyFill="1" applyBorder="1" applyAlignment="1">
      <alignment horizontal="left" vertical="center" wrapText="1"/>
    </xf>
    <xf numFmtId="0" fontId="52" fillId="0" borderId="6" xfId="2" applyFont="1" applyFill="1" applyBorder="1" applyAlignment="1">
      <alignment horizontal="justify" vertical="center" wrapText="1"/>
    </xf>
    <xf numFmtId="0" fontId="52" fillId="0" borderId="6" xfId="2" applyFont="1" applyBorder="1" applyAlignment="1">
      <alignment vertical="center" wrapText="1"/>
    </xf>
    <xf numFmtId="0" fontId="52" fillId="0" borderId="58" xfId="2" applyFont="1" applyBorder="1" applyAlignment="1">
      <alignment vertical="center" wrapText="1"/>
    </xf>
    <xf numFmtId="0" fontId="52" fillId="0" borderId="6" xfId="2" applyFont="1" applyFill="1" applyBorder="1" applyAlignment="1">
      <alignment horizontal="left" vertical="center" wrapText="1"/>
    </xf>
    <xf numFmtId="0" fontId="52" fillId="0" borderId="6" xfId="2" applyFont="1" applyBorder="1" applyAlignment="1">
      <alignment horizontal="left" vertical="center" wrapText="1"/>
    </xf>
    <xf numFmtId="0" fontId="52" fillId="0" borderId="58" xfId="2" applyFont="1" applyBorder="1" applyAlignment="1">
      <alignment horizontal="left" vertical="center" wrapText="1"/>
    </xf>
    <xf numFmtId="0" fontId="55" fillId="10" borderId="83" xfId="2" applyFont="1" applyFill="1" applyBorder="1" applyAlignment="1">
      <alignment horizontal="center" vertical="center" wrapText="1"/>
    </xf>
    <xf numFmtId="0" fontId="55" fillId="10" borderId="84" xfId="2" applyFont="1" applyFill="1" applyBorder="1" applyAlignment="1">
      <alignment horizontal="center" vertical="center" wrapText="1"/>
    </xf>
    <xf numFmtId="0" fontId="55" fillId="10" borderId="85" xfId="2" applyFont="1" applyFill="1" applyBorder="1" applyAlignment="1">
      <alignment horizontal="center" vertical="center" wrapText="1"/>
    </xf>
    <xf numFmtId="0" fontId="56" fillId="0" borderId="5" xfId="2" applyFont="1" applyFill="1" applyBorder="1" applyAlignment="1">
      <alignment horizontal="left" vertical="center" wrapText="1"/>
    </xf>
    <xf numFmtId="0" fontId="52" fillId="0" borderId="5" xfId="2" applyFont="1" applyBorder="1" applyAlignment="1">
      <alignment vertical="center" wrapText="1"/>
    </xf>
    <xf numFmtId="0" fontId="52" fillId="0" borderId="34" xfId="2" applyFont="1" applyBorder="1" applyAlignment="1">
      <alignment vertical="center" wrapText="1"/>
    </xf>
    <xf numFmtId="0" fontId="52" fillId="2" borderId="5" xfId="2" applyFont="1" applyFill="1" applyBorder="1" applyAlignment="1">
      <alignment horizontal="center" vertical="center" wrapText="1"/>
    </xf>
    <xf numFmtId="0" fontId="52" fillId="2" borderId="74" xfId="2" applyFont="1" applyFill="1" applyBorder="1" applyAlignment="1">
      <alignment horizontal="center" vertical="center" wrapText="1"/>
    </xf>
    <xf numFmtId="0" fontId="123" fillId="0" borderId="130" xfId="2" applyFont="1" applyFill="1" applyBorder="1" applyAlignment="1">
      <alignment horizontal="left" vertical="center" wrapText="1"/>
    </xf>
    <xf numFmtId="0" fontId="123" fillId="0" borderId="152" xfId="2" applyFont="1" applyBorder="1" applyAlignment="1">
      <alignment horizontal="left" vertical="center" wrapText="1"/>
    </xf>
    <xf numFmtId="0" fontId="123" fillId="0" borderId="86" xfId="2" applyFont="1" applyBorder="1" applyAlignment="1">
      <alignment horizontal="left" vertical="center" wrapText="1"/>
    </xf>
    <xf numFmtId="0" fontId="123" fillId="0" borderId="16" xfId="2" applyFont="1" applyBorder="1" applyAlignment="1">
      <alignment horizontal="left" vertical="center" wrapText="1"/>
    </xf>
    <xf numFmtId="0" fontId="52" fillId="0" borderId="0" xfId="2" applyFont="1" applyBorder="1" applyAlignment="1">
      <alignment horizontal="center" vertical="center" wrapText="1"/>
    </xf>
    <xf numFmtId="0" fontId="52" fillId="0" borderId="0" xfId="2" applyFont="1" applyBorder="1" applyAlignment="1">
      <alignment vertical="center" wrapText="1"/>
    </xf>
    <xf numFmtId="0" fontId="55" fillId="2" borderId="14" xfId="2" applyFont="1" applyFill="1" applyBorder="1" applyAlignment="1">
      <alignment horizontal="left" vertical="center" wrapText="1"/>
    </xf>
    <xf numFmtId="0" fontId="55" fillId="2" borderId="13" xfId="2" applyFont="1" applyFill="1" applyBorder="1" applyAlignment="1">
      <alignment horizontal="left" vertical="center" wrapText="1"/>
    </xf>
    <xf numFmtId="49" fontId="52" fillId="0" borderId="13" xfId="2" applyNumberFormat="1" applyFont="1" applyFill="1" applyBorder="1" applyAlignment="1">
      <alignment horizontal="left" vertical="center" wrapText="1"/>
    </xf>
    <xf numFmtId="49" fontId="52" fillId="0" borderId="12" xfId="2" applyNumberFormat="1" applyFont="1" applyFill="1" applyBorder="1" applyAlignment="1">
      <alignment horizontal="left" vertical="center" wrapText="1"/>
    </xf>
    <xf numFmtId="0" fontId="55" fillId="2" borderId="6" xfId="2" applyFont="1" applyFill="1" applyBorder="1" applyAlignment="1">
      <alignment horizontal="left" vertical="center" wrapText="1"/>
    </xf>
    <xf numFmtId="0" fontId="52" fillId="2" borderId="20" xfId="2" applyFont="1" applyFill="1" applyBorder="1" applyAlignment="1">
      <alignment horizontal="center" vertical="center" wrapText="1"/>
    </xf>
    <xf numFmtId="0" fontId="52" fillId="2" borderId="17" xfId="2" applyFont="1" applyFill="1" applyBorder="1" applyAlignment="1">
      <alignment horizontal="center" vertical="center" wrapText="1"/>
    </xf>
    <xf numFmtId="0" fontId="52" fillId="2" borderId="21" xfId="2" applyFont="1" applyFill="1" applyBorder="1" applyAlignment="1">
      <alignment horizontal="center" vertical="center" wrapText="1"/>
    </xf>
    <xf numFmtId="0" fontId="52" fillId="2" borderId="87" xfId="2" applyFont="1" applyFill="1" applyBorder="1" applyAlignment="1">
      <alignment horizontal="center" vertical="center" wrapText="1"/>
    </xf>
    <xf numFmtId="0" fontId="64" fillId="2" borderId="194" xfId="2" applyFont="1" applyFill="1" applyBorder="1" applyAlignment="1">
      <alignment horizontal="center" vertical="center" wrapText="1"/>
    </xf>
    <xf numFmtId="0" fontId="64" fillId="2" borderId="108" xfId="2" applyFont="1" applyFill="1" applyBorder="1" applyAlignment="1">
      <alignment horizontal="center" vertical="center" wrapText="1"/>
    </xf>
    <xf numFmtId="0" fontId="55" fillId="10" borderId="153" xfId="2" applyFont="1" applyFill="1" applyBorder="1" applyAlignment="1">
      <alignment horizontal="center"/>
    </xf>
    <xf numFmtId="0" fontId="55" fillId="10" borderId="25" xfId="2" applyFont="1" applyFill="1" applyBorder="1" applyAlignment="1">
      <alignment horizontal="center"/>
    </xf>
    <xf numFmtId="0" fontId="55" fillId="10" borderId="149" xfId="2" applyFont="1" applyFill="1" applyBorder="1" applyAlignment="1">
      <alignment horizontal="center"/>
    </xf>
    <xf numFmtId="0" fontId="52" fillId="0" borderId="58" xfId="2" applyFont="1" applyFill="1" applyBorder="1" applyAlignment="1">
      <alignment horizontal="left" vertical="center" wrapText="1"/>
    </xf>
    <xf numFmtId="0" fontId="52" fillId="0" borderId="58" xfId="2" applyFont="1" applyFill="1" applyBorder="1" applyAlignment="1">
      <alignment horizontal="justify" vertical="center" wrapText="1"/>
    </xf>
    <xf numFmtId="0" fontId="52" fillId="0" borderId="6" xfId="2" applyFont="1" applyBorder="1" applyAlignment="1">
      <alignment horizontal="justify" vertical="center" wrapText="1"/>
    </xf>
    <xf numFmtId="0" fontId="52" fillId="0" borderId="58" xfId="2" applyFont="1" applyBorder="1" applyAlignment="1">
      <alignment horizontal="justify" vertical="center" wrapText="1"/>
    </xf>
    <xf numFmtId="0" fontId="55" fillId="2" borderId="33" xfId="2" applyFont="1" applyFill="1" applyBorder="1" applyAlignment="1">
      <alignment horizontal="left" vertical="center" wrapText="1"/>
    </xf>
    <xf numFmtId="0" fontId="52" fillId="0" borderId="36" xfId="2" applyFont="1" applyFill="1" applyBorder="1" applyAlignment="1">
      <alignment horizontal="left" vertical="center" wrapText="1"/>
    </xf>
    <xf numFmtId="0" fontId="55" fillId="2" borderId="5" xfId="2" applyFont="1" applyFill="1" applyBorder="1" applyAlignment="1">
      <alignment horizontal="left" vertical="center" wrapText="1"/>
    </xf>
    <xf numFmtId="0" fontId="56" fillId="0" borderId="34" xfId="2" applyFont="1" applyFill="1" applyBorder="1" applyAlignment="1">
      <alignment horizontal="left" vertical="center" wrapText="1"/>
    </xf>
    <xf numFmtId="0" fontId="89" fillId="0" borderId="27" xfId="357" applyFont="1" applyBorder="1" applyAlignment="1">
      <alignment horizontal="left" vertical="center"/>
    </xf>
    <xf numFmtId="0" fontId="89" fillId="0" borderId="32" xfId="357" applyFont="1" applyBorder="1" applyAlignment="1">
      <alignment horizontal="left" vertical="center"/>
    </xf>
    <xf numFmtId="0" fontId="89" fillId="0" borderId="28" xfId="357" applyFont="1" applyBorder="1" applyAlignment="1">
      <alignment horizontal="left" vertical="center"/>
    </xf>
    <xf numFmtId="0" fontId="89" fillId="0" borderId="34" xfId="357" applyFont="1" applyBorder="1" applyAlignment="1">
      <alignment horizontal="left" vertical="center"/>
    </xf>
    <xf numFmtId="0" fontId="9" fillId="0" borderId="6" xfId="357" applyFont="1" applyBorder="1" applyAlignment="1">
      <alignment horizontal="left"/>
    </xf>
    <xf numFmtId="0" fontId="9" fillId="3" borderId="179" xfId="357" applyFont="1" applyFill="1" applyBorder="1" applyAlignment="1">
      <alignment horizontal="left" vertical="center"/>
    </xf>
    <xf numFmtId="0" fontId="9" fillId="3" borderId="193" xfId="357" applyFont="1" applyFill="1" applyBorder="1" applyAlignment="1">
      <alignment horizontal="left" vertical="center"/>
    </xf>
    <xf numFmtId="0" fontId="109" fillId="0" borderId="6" xfId="357" applyFont="1" applyBorder="1" applyAlignment="1">
      <alignment horizontal="right"/>
    </xf>
    <xf numFmtId="0" fontId="89" fillId="94" borderId="153" xfId="357" applyFont="1" applyFill="1" applyBorder="1" applyAlignment="1">
      <alignment horizontal="center"/>
    </xf>
    <xf numFmtId="0" fontId="89" fillId="94" borderId="25" xfId="357" applyFont="1" applyFill="1" applyBorder="1" applyAlignment="1">
      <alignment horizontal="center"/>
    </xf>
    <xf numFmtId="0" fontId="89" fillId="94" borderId="149" xfId="357" applyFont="1" applyFill="1" applyBorder="1" applyAlignment="1">
      <alignment horizontal="center"/>
    </xf>
    <xf numFmtId="0" fontId="9" fillId="79" borderId="179" xfId="357" applyFont="1" applyFill="1" applyBorder="1" applyAlignment="1">
      <alignment horizontal="left" vertical="center"/>
    </xf>
    <xf numFmtId="0" fontId="9" fillId="79" borderId="188" xfId="357" applyFont="1" applyFill="1" applyBorder="1" applyAlignment="1">
      <alignment horizontal="left" vertical="center"/>
    </xf>
    <xf numFmtId="0" fontId="9" fillId="74" borderId="179" xfId="357" applyFont="1" applyFill="1" applyBorder="1" applyAlignment="1">
      <alignment horizontal="left" vertical="center"/>
    </xf>
    <xf numFmtId="0" fontId="9" fillId="74" borderId="188" xfId="357" applyFont="1" applyFill="1" applyBorder="1" applyAlignment="1">
      <alignment horizontal="left" vertical="center"/>
    </xf>
    <xf numFmtId="0" fontId="89" fillId="9" borderId="6" xfId="357" applyFont="1" applyFill="1" applyBorder="1" applyAlignment="1">
      <alignment horizontal="left"/>
    </xf>
    <xf numFmtId="0" fontId="89" fillId="0" borderId="6" xfId="357" applyFont="1" applyBorder="1" applyAlignment="1">
      <alignment horizontal="left" vertical="top"/>
    </xf>
    <xf numFmtId="0" fontId="115" fillId="0" borderId="23" xfId="2" applyFont="1" applyFill="1" applyBorder="1" applyAlignment="1">
      <alignment horizontal="left" vertical="center" wrapText="1"/>
    </xf>
    <xf numFmtId="0" fontId="115" fillId="0" borderId="6" xfId="2" applyFont="1" applyFill="1" applyBorder="1" applyAlignment="1">
      <alignment horizontal="left" vertical="center" wrapText="1"/>
    </xf>
    <xf numFmtId="0" fontId="115" fillId="0" borderId="22" xfId="2" applyFont="1" applyFill="1" applyBorder="1" applyAlignment="1">
      <alignment horizontal="left" vertical="center" wrapText="1"/>
    </xf>
    <xf numFmtId="0" fontId="129" fillId="2" borderId="139" xfId="2" applyFont="1" applyFill="1" applyBorder="1" applyAlignment="1">
      <alignment horizontal="left" vertical="center" wrapText="1"/>
    </xf>
    <xf numFmtId="0" fontId="129" fillId="2" borderId="143" xfId="2" applyFont="1" applyFill="1" applyBorder="1" applyAlignment="1">
      <alignment horizontal="left" vertical="center" wrapText="1"/>
    </xf>
    <xf numFmtId="0" fontId="129" fillId="2" borderId="130" xfId="2" applyFont="1" applyFill="1" applyBorder="1" applyAlignment="1">
      <alignment horizontal="left" vertical="center" wrapText="1"/>
    </xf>
    <xf numFmtId="0" fontId="129" fillId="2" borderId="37" xfId="2" applyFont="1" applyFill="1" applyBorder="1" applyAlignment="1">
      <alignment horizontal="left" vertical="center" wrapText="1"/>
    </xf>
    <xf numFmtId="0" fontId="89" fillId="0" borderId="6" xfId="357" applyFont="1" applyBorder="1" applyAlignment="1">
      <alignment horizontal="left"/>
    </xf>
    <xf numFmtId="0" fontId="129" fillId="2" borderId="152" xfId="2" applyFont="1" applyFill="1" applyBorder="1" applyAlignment="1">
      <alignment horizontal="left" vertical="center" wrapText="1"/>
    </xf>
    <xf numFmtId="0" fontId="129" fillId="2" borderId="86" xfId="2" applyFont="1" applyFill="1" applyBorder="1" applyAlignment="1">
      <alignment horizontal="left" vertical="center" wrapText="1"/>
    </xf>
    <xf numFmtId="0" fontId="115" fillId="0" borderId="17" xfId="2" applyFont="1" applyFill="1" applyBorder="1" applyAlignment="1">
      <alignment horizontal="left" vertical="center" wrapText="1"/>
    </xf>
    <xf numFmtId="0" fontId="115" fillId="0" borderId="21" xfId="2" applyFont="1" applyFill="1" applyBorder="1" applyAlignment="1">
      <alignment horizontal="left" vertical="center" wrapText="1"/>
    </xf>
    <xf numFmtId="0" fontId="115" fillId="0" borderId="15" xfId="2" applyFont="1" applyFill="1" applyBorder="1" applyAlignment="1">
      <alignment horizontal="left" vertical="center" wrapText="1"/>
    </xf>
    <xf numFmtId="0" fontId="89" fillId="68" borderId="6" xfId="285" applyFont="1" applyFill="1" applyBorder="1" applyAlignment="1">
      <alignment horizontal="center"/>
    </xf>
    <xf numFmtId="0" fontId="89" fillId="0" borderId="27" xfId="357" applyFont="1" applyFill="1" applyBorder="1" applyAlignment="1">
      <alignment horizontal="left" vertical="center"/>
    </xf>
    <xf numFmtId="0" fontId="89" fillId="0" borderId="32" xfId="357" applyFont="1" applyFill="1" applyBorder="1" applyAlignment="1">
      <alignment horizontal="left" vertical="center"/>
    </xf>
    <xf numFmtId="0" fontId="89" fillId="0" borderId="28" xfId="357" applyFont="1" applyFill="1" applyBorder="1" applyAlignment="1">
      <alignment horizontal="left" vertical="center"/>
    </xf>
    <xf numFmtId="0" fontId="89" fillId="0" borderId="34" xfId="357" applyFont="1" applyFill="1" applyBorder="1" applyAlignment="1">
      <alignment horizontal="left" vertical="center"/>
    </xf>
    <xf numFmtId="0" fontId="89" fillId="0" borderId="6" xfId="357" applyFont="1" applyBorder="1" applyAlignment="1">
      <alignment horizontal="right"/>
    </xf>
    <xf numFmtId="0" fontId="109" fillId="0" borderId="6" xfId="357" applyFont="1" applyFill="1" applyBorder="1" applyAlignment="1" applyProtection="1">
      <alignment horizontal="right"/>
    </xf>
    <xf numFmtId="0" fontId="193" fillId="0" borderId="20" xfId="2" applyFont="1" applyFill="1" applyBorder="1" applyAlignment="1">
      <alignment horizontal="center" vertical="center" wrapText="1"/>
    </xf>
    <xf numFmtId="0" fontId="193" fillId="0" borderId="49" xfId="2" applyFont="1" applyFill="1" applyBorder="1" applyAlignment="1">
      <alignment horizontal="center" vertical="center" wrapText="1"/>
    </xf>
    <xf numFmtId="0" fontId="129" fillId="10" borderId="123" xfId="14" applyFont="1" applyFill="1" applyBorder="1" applyAlignment="1">
      <alignment horizontal="center" vertical="center"/>
    </xf>
    <xf numFmtId="0" fontId="129" fillId="10" borderId="0" xfId="14" applyFont="1" applyFill="1" applyBorder="1" applyAlignment="1">
      <alignment horizontal="center" vertical="center"/>
    </xf>
    <xf numFmtId="0" fontId="129" fillId="10" borderId="103" xfId="14" applyFont="1" applyFill="1" applyBorder="1" applyAlignment="1">
      <alignment horizontal="center" vertical="center"/>
    </xf>
    <xf numFmtId="0" fontId="195" fillId="78" borderId="23" xfId="351" applyFont="1" applyFill="1" applyBorder="1" applyAlignment="1">
      <alignment horizontal="left" vertical="center" wrapText="1"/>
    </xf>
    <xf numFmtId="0" fontId="148" fillId="78" borderId="6" xfId="351" applyFont="1" applyFill="1" applyBorder="1" applyAlignment="1">
      <alignment horizontal="left" vertical="center" wrapText="1"/>
    </xf>
    <xf numFmtId="0" fontId="148" fillId="0" borderId="35" xfId="351" applyFont="1" applyBorder="1" applyAlignment="1">
      <alignment vertical="center" wrapText="1"/>
    </xf>
    <xf numFmtId="0" fontId="148" fillId="0" borderId="23" xfId="351" applyFont="1" applyFill="1" applyBorder="1" applyAlignment="1">
      <alignment horizontal="left" vertical="center" wrapText="1"/>
    </xf>
    <xf numFmtId="0" fontId="148" fillId="0" borderId="6" xfId="351" applyFont="1" applyBorder="1" applyAlignment="1">
      <alignment vertical="center" wrapText="1"/>
    </xf>
    <xf numFmtId="0" fontId="148" fillId="0" borderId="22" xfId="351" applyFont="1" applyBorder="1" applyAlignment="1">
      <alignment vertical="center" wrapText="1"/>
    </xf>
    <xf numFmtId="0" fontId="195" fillId="78" borderId="24" xfId="351" applyFont="1" applyFill="1" applyBorder="1" applyAlignment="1">
      <alignment horizontal="left" vertical="center" wrapText="1"/>
    </xf>
    <xf numFmtId="0" fontId="148" fillId="78" borderId="5" xfId="351" applyFont="1" applyFill="1" applyBorder="1" applyAlignment="1">
      <alignment horizontal="left" vertical="center" wrapText="1"/>
    </xf>
    <xf numFmtId="0" fontId="148" fillId="0" borderId="28" xfId="351" applyFont="1" applyBorder="1" applyAlignment="1">
      <alignment vertical="center" wrapText="1"/>
    </xf>
    <xf numFmtId="0" fontId="196" fillId="0" borderId="130" xfId="351" applyFont="1" applyFill="1" applyBorder="1" applyAlignment="1">
      <alignment horizontal="left" vertical="center" wrapText="1"/>
    </xf>
    <xf numFmtId="0" fontId="196" fillId="0" borderId="37" xfId="351" applyFont="1" applyFill="1" applyBorder="1" applyAlignment="1">
      <alignment horizontal="left" vertical="center" wrapText="1"/>
    </xf>
    <xf numFmtId="0" fontId="196" fillId="0" borderId="31" xfId="351" applyFont="1" applyFill="1" applyBorder="1" applyAlignment="1">
      <alignment horizontal="left" vertical="center" wrapText="1"/>
    </xf>
    <xf numFmtId="0" fontId="115" fillId="5" borderId="154" xfId="7" applyFont="1" applyFill="1" applyBorder="1" applyAlignment="1">
      <alignment horizontal="center" vertical="center" wrapText="1"/>
    </xf>
    <xf numFmtId="0" fontId="115" fillId="5" borderId="197" xfId="7" applyFont="1" applyFill="1" applyBorder="1" applyAlignment="1">
      <alignment horizontal="center" vertical="center" wrapText="1"/>
    </xf>
    <xf numFmtId="0" fontId="148" fillId="0" borderId="130" xfId="351" applyFont="1" applyFill="1" applyBorder="1" applyAlignment="1">
      <alignment horizontal="justify" vertical="center" wrapText="1"/>
    </xf>
    <xf numFmtId="0" fontId="148" fillId="0" borderId="37" xfId="351" applyFont="1" applyBorder="1" applyAlignment="1">
      <alignment horizontal="justify" vertical="center" wrapText="1"/>
    </xf>
    <xf numFmtId="0" fontId="148" fillId="0" borderId="140" xfId="351" applyFont="1" applyBorder="1" applyAlignment="1">
      <alignment horizontal="justify" vertical="center" wrapText="1"/>
    </xf>
    <xf numFmtId="0" fontId="148" fillId="0" borderId="50" xfId="351" applyFont="1" applyFill="1" applyBorder="1" applyAlignment="1">
      <alignment horizontal="left" vertical="center" wrapText="1"/>
    </xf>
    <xf numFmtId="0" fontId="148" fillId="0" borderId="7" xfId="351" applyFont="1" applyBorder="1" applyAlignment="1">
      <alignment vertical="center" wrapText="1"/>
    </xf>
    <xf numFmtId="0" fontId="148" fillId="0" borderId="96" xfId="351" applyFont="1" applyBorder="1" applyAlignment="1">
      <alignment vertical="center" wrapText="1"/>
    </xf>
    <xf numFmtId="0" fontId="148" fillId="0" borderId="130" xfId="351" applyFont="1" applyBorder="1" applyAlignment="1">
      <alignment horizontal="justify" vertical="top" wrapText="1"/>
    </xf>
    <xf numFmtId="0" fontId="148" fillId="0" borderId="37" xfId="351" applyFont="1" applyBorder="1" applyAlignment="1">
      <alignment horizontal="justify" vertical="top" wrapText="1"/>
    </xf>
    <xf numFmtId="0" fontId="148" fillId="0" borderId="140" xfId="351" applyFont="1" applyBorder="1" applyAlignment="1">
      <alignment horizontal="justify" vertical="top" wrapText="1"/>
    </xf>
    <xf numFmtId="0" fontId="148" fillId="5" borderId="23" xfId="351" applyFont="1" applyFill="1" applyBorder="1" applyAlignment="1">
      <alignment horizontal="left" vertical="center" wrapText="1"/>
    </xf>
    <xf numFmtId="0" fontId="148" fillId="5" borderId="6" xfId="351" applyFont="1" applyFill="1" applyBorder="1" applyAlignment="1">
      <alignment vertical="center" wrapText="1"/>
    </xf>
    <xf numFmtId="0" fontId="148" fillId="5" borderId="22" xfId="351" applyFont="1" applyFill="1" applyBorder="1" applyAlignment="1">
      <alignment vertical="center" wrapText="1"/>
    </xf>
    <xf numFmtId="0" fontId="148" fillId="0" borderId="23" xfId="351" applyFont="1" applyFill="1" applyBorder="1" applyAlignment="1">
      <alignment horizontal="justify" vertical="center" wrapText="1"/>
    </xf>
    <xf numFmtId="0" fontId="115" fillId="2" borderId="6" xfId="2" applyFont="1" applyFill="1" applyBorder="1" applyAlignment="1">
      <alignment horizontal="center" wrapText="1"/>
    </xf>
    <xf numFmtId="0" fontId="195" fillId="78" borderId="152" xfId="351" applyFont="1" applyFill="1" applyBorder="1" applyAlignment="1">
      <alignment horizontal="left" vertical="center" wrapText="1"/>
    </xf>
    <xf numFmtId="0" fontId="9" fillId="0" borderId="86" xfId="351" applyFont="1" applyBorder="1" applyAlignment="1">
      <alignment horizontal="left" vertical="center" wrapText="1"/>
    </xf>
    <xf numFmtId="0" fontId="148" fillId="0" borderId="152" xfId="351" applyFont="1" applyFill="1" applyBorder="1" applyAlignment="1">
      <alignment horizontal="left" vertical="center" wrapText="1"/>
    </xf>
    <xf numFmtId="0" fontId="9" fillId="0" borderId="144" xfId="351" applyFont="1" applyBorder="1" applyAlignment="1">
      <alignment horizontal="left" vertical="center" wrapText="1"/>
    </xf>
    <xf numFmtId="0" fontId="115" fillId="2" borderId="35" xfId="2" applyFont="1" applyFill="1" applyBorder="1" applyAlignment="1">
      <alignment horizontal="left" vertical="center"/>
    </xf>
    <xf numFmtId="0" fontId="115" fillId="2" borderId="37" xfId="2" applyFont="1" applyFill="1" applyBorder="1" applyAlignment="1">
      <alignment horizontal="left" vertical="center"/>
    </xf>
    <xf numFmtId="0" fontId="115" fillId="2" borderId="31" xfId="2" applyFont="1" applyFill="1" applyBorder="1" applyAlignment="1">
      <alignment horizontal="left" vertical="center"/>
    </xf>
    <xf numFmtId="0" fontId="115" fillId="0" borderId="6" xfId="2" applyFont="1" applyBorder="1" applyAlignment="1">
      <alignment horizontal="left" vertical="center"/>
    </xf>
    <xf numFmtId="0" fontId="129" fillId="76" borderId="35" xfId="2" applyFont="1" applyFill="1" applyBorder="1" applyAlignment="1">
      <alignment horizontal="left" vertical="center" wrapText="1"/>
    </xf>
    <xf numFmtId="0" fontId="115" fillId="76" borderId="37" xfId="2" applyFont="1" applyFill="1" applyBorder="1" applyAlignment="1">
      <alignment horizontal="left" vertical="center" wrapText="1"/>
    </xf>
    <xf numFmtId="0" fontId="115" fillId="76" borderId="31" xfId="2" applyFont="1" applyFill="1" applyBorder="1" applyAlignment="1">
      <alignment horizontal="left" vertical="center" wrapText="1"/>
    </xf>
    <xf numFmtId="0" fontId="115" fillId="0" borderId="35" xfId="2" applyFont="1" applyFill="1" applyBorder="1" applyAlignment="1">
      <alignment horizontal="left" vertical="center" wrapText="1"/>
    </xf>
    <xf numFmtId="0" fontId="115" fillId="0" borderId="37" xfId="2" applyFont="1" applyBorder="1" applyAlignment="1">
      <alignment horizontal="left" vertical="center" wrapText="1"/>
    </xf>
    <xf numFmtId="0" fontId="115" fillId="0" borderId="31" xfId="2" applyFont="1" applyBorder="1" applyAlignment="1">
      <alignment horizontal="left" vertical="center" wrapText="1"/>
    </xf>
    <xf numFmtId="0" fontId="129" fillId="3" borderId="30" xfId="2" applyFont="1" applyFill="1" applyBorder="1" applyAlignment="1">
      <alignment horizontal="center" vertical="center"/>
    </xf>
    <xf numFmtId="0" fontId="129" fillId="3" borderId="0" xfId="2" applyFont="1" applyFill="1" applyBorder="1" applyAlignment="1">
      <alignment horizontal="center" vertical="center"/>
    </xf>
    <xf numFmtId="0" fontId="55" fillId="2" borderId="139" xfId="7" applyFont="1" applyFill="1" applyBorder="1" applyAlignment="1">
      <alignment horizontal="center" vertical="center" wrapText="1"/>
    </xf>
    <xf numFmtId="0" fontId="55" fillId="2" borderId="143" xfId="7" applyFont="1" applyFill="1" applyBorder="1" applyAlignment="1">
      <alignment horizontal="center" vertical="center" wrapText="1"/>
    </xf>
    <xf numFmtId="0" fontId="55" fillId="2" borderId="19" xfId="7" applyFont="1" applyFill="1" applyBorder="1" applyAlignment="1">
      <alignment horizontal="center" vertical="center" wrapText="1"/>
    </xf>
    <xf numFmtId="0" fontId="116" fillId="2" borderId="154" xfId="7" applyFont="1" applyFill="1" applyBorder="1" applyAlignment="1">
      <alignment horizontal="left" vertical="center" wrapText="1"/>
    </xf>
    <xf numFmtId="0" fontId="116" fillId="2" borderId="143" xfId="7" applyFont="1" applyFill="1" applyBorder="1" applyAlignment="1">
      <alignment horizontal="left" vertical="center" wrapText="1"/>
    </xf>
    <xf numFmtId="0" fontId="116" fillId="2" borderId="113" xfId="7" applyFont="1" applyFill="1" applyBorder="1" applyAlignment="1">
      <alignment horizontal="left" vertical="center" wrapText="1"/>
    </xf>
    <xf numFmtId="0" fontId="129" fillId="2" borderId="130" xfId="7" applyFont="1" applyFill="1" applyBorder="1" applyAlignment="1">
      <alignment horizontal="left" vertical="center" wrapText="1"/>
    </xf>
    <xf numFmtId="0" fontId="129" fillId="2" borderId="37" xfId="7" applyFont="1" applyFill="1" applyBorder="1" applyAlignment="1">
      <alignment horizontal="left" vertical="center" wrapText="1"/>
    </xf>
    <xf numFmtId="0" fontId="129" fillId="2" borderId="31" xfId="7" applyFont="1" applyFill="1" applyBorder="1" applyAlignment="1">
      <alignment horizontal="left" vertical="center" wrapText="1"/>
    </xf>
    <xf numFmtId="0" fontId="49" fillId="5" borderId="35" xfId="7" applyFont="1" applyFill="1" applyBorder="1" applyAlignment="1">
      <alignment horizontal="left" vertical="center" wrapText="1"/>
    </xf>
    <xf numFmtId="0" fontId="49" fillId="5" borderId="37" xfId="7" applyFont="1" applyFill="1" applyBorder="1" applyAlignment="1">
      <alignment horizontal="left" vertical="center" wrapText="1"/>
    </xf>
    <xf numFmtId="0" fontId="49" fillId="5" borderId="140" xfId="7" applyFont="1" applyFill="1" applyBorder="1" applyAlignment="1">
      <alignment horizontal="left" vertical="center" wrapText="1"/>
    </xf>
    <xf numFmtId="0" fontId="129" fillId="2" borderId="139" xfId="7" applyFont="1" applyFill="1" applyBorder="1" applyAlignment="1">
      <alignment horizontal="left" vertical="center" wrapText="1"/>
    </xf>
    <xf numFmtId="0" fontId="129" fillId="2" borderId="143" xfId="7" applyFont="1" applyFill="1" applyBorder="1" applyAlignment="1">
      <alignment horizontal="left" vertical="center" wrapText="1"/>
    </xf>
    <xf numFmtId="0" fontId="129" fillId="2" borderId="19" xfId="7" applyFont="1" applyFill="1" applyBorder="1" applyAlignment="1">
      <alignment horizontal="left" vertical="center" wrapText="1"/>
    </xf>
    <xf numFmtId="0" fontId="130" fillId="5" borderId="143" xfId="7" applyFont="1" applyFill="1" applyBorder="1" applyAlignment="1">
      <alignment horizontal="left" vertical="center" wrapText="1"/>
    </xf>
    <xf numFmtId="0" fontId="130" fillId="5" borderId="19" xfId="7" applyFont="1" applyFill="1" applyBorder="1" applyAlignment="1">
      <alignment horizontal="left" vertical="center" wrapText="1"/>
    </xf>
    <xf numFmtId="0" fontId="49" fillId="5" borderId="154" xfId="7" applyFont="1" applyFill="1" applyBorder="1" applyAlignment="1">
      <alignment horizontal="center" vertical="center" wrapText="1"/>
    </xf>
    <xf numFmtId="0" fontId="49" fillId="5" borderId="113" xfId="7" applyFont="1" applyFill="1" applyBorder="1" applyAlignment="1">
      <alignment horizontal="center" vertical="center" wrapText="1"/>
    </xf>
    <xf numFmtId="0" fontId="52" fillId="2" borderId="124" xfId="2" applyFont="1" applyFill="1" applyBorder="1" applyAlignment="1">
      <alignment horizontal="center" vertical="center"/>
    </xf>
    <xf numFmtId="0" fontId="138" fillId="71" borderId="151" xfId="2" applyFont="1" applyFill="1" applyBorder="1" applyAlignment="1">
      <alignment horizontal="center"/>
    </xf>
    <xf numFmtId="0" fontId="138" fillId="71" borderId="121" xfId="2" applyFont="1" applyFill="1" applyBorder="1" applyAlignment="1">
      <alignment horizontal="center"/>
    </xf>
    <xf numFmtId="0" fontId="138" fillId="71" borderId="122" xfId="2" applyFont="1" applyFill="1" applyBorder="1" applyAlignment="1">
      <alignment horizontal="center"/>
    </xf>
    <xf numFmtId="0" fontId="138" fillId="2" borderId="120" xfId="2" applyFont="1" applyFill="1" applyBorder="1" applyAlignment="1">
      <alignment horizontal="center" vertical="center" wrapText="1"/>
    </xf>
    <xf numFmtId="0" fontId="138" fillId="2" borderId="121" xfId="2" applyFont="1" applyFill="1" applyBorder="1" applyAlignment="1">
      <alignment horizontal="center" vertical="center" wrapText="1"/>
    </xf>
    <xf numFmtId="0" fontId="138" fillId="2" borderId="122" xfId="2" applyFont="1" applyFill="1" applyBorder="1" applyAlignment="1">
      <alignment horizontal="center" vertical="center" wrapText="1"/>
    </xf>
    <xf numFmtId="0" fontId="55" fillId="10" borderId="153" xfId="248" applyFont="1" applyFill="1" applyBorder="1" applyAlignment="1">
      <alignment horizontal="center" vertical="center" wrapText="1"/>
    </xf>
    <xf numFmtId="0" fontId="55" fillId="10" borderId="25" xfId="248" applyFont="1" applyFill="1" applyBorder="1" applyAlignment="1">
      <alignment horizontal="center" vertical="center" wrapText="1"/>
    </xf>
    <xf numFmtId="0" fontId="55" fillId="10" borderId="149" xfId="248" applyFont="1" applyFill="1" applyBorder="1" applyAlignment="1">
      <alignment horizontal="center" vertical="center" wrapText="1"/>
    </xf>
    <xf numFmtId="0" fontId="55" fillId="2" borderId="130" xfId="7" applyFont="1" applyFill="1" applyBorder="1" applyAlignment="1">
      <alignment horizontal="center" vertical="center" wrapText="1"/>
    </xf>
    <xf numFmtId="0" fontId="55" fillId="2" borderId="37" xfId="7" applyFont="1" applyFill="1" applyBorder="1" applyAlignment="1">
      <alignment horizontal="center" vertical="center" wrapText="1"/>
    </xf>
    <xf numFmtId="0" fontId="55" fillId="2" borderId="31" xfId="7" applyFont="1" applyFill="1" applyBorder="1" applyAlignment="1">
      <alignment horizontal="center" vertical="center" wrapText="1"/>
    </xf>
    <xf numFmtId="0" fontId="76" fillId="2" borderId="35" xfId="7" applyFont="1" applyFill="1" applyBorder="1" applyAlignment="1">
      <alignment horizontal="left" vertical="center" wrapText="1"/>
    </xf>
    <xf numFmtId="0" fontId="76" fillId="2" borderId="37" xfId="7" applyFont="1" applyFill="1" applyBorder="1" applyAlignment="1">
      <alignment horizontal="left" vertical="center" wrapText="1"/>
    </xf>
    <xf numFmtId="0" fontId="76" fillId="2" borderId="140" xfId="7" applyFont="1" applyFill="1" applyBorder="1" applyAlignment="1">
      <alignment horizontal="left" vertical="center" wrapText="1"/>
    </xf>
    <xf numFmtId="0" fontId="55" fillId="2" borderId="152" xfId="7" applyFont="1" applyFill="1" applyBorder="1" applyAlignment="1">
      <alignment horizontal="center" vertical="center" wrapText="1"/>
    </xf>
    <xf numFmtId="0" fontId="55" fillId="2" borderId="86" xfId="7" applyFont="1" applyFill="1" applyBorder="1" applyAlignment="1">
      <alignment horizontal="center" vertical="center" wrapText="1"/>
    </xf>
    <xf numFmtId="0" fontId="55" fillId="2" borderId="16" xfId="7" applyFont="1" applyFill="1" applyBorder="1" applyAlignment="1">
      <alignment horizontal="center" vertical="center" wrapText="1"/>
    </xf>
    <xf numFmtId="0" fontId="76" fillId="2" borderId="87" xfId="7" applyFont="1" applyFill="1" applyBorder="1" applyAlignment="1">
      <alignment horizontal="left" vertical="center" wrapText="1"/>
    </xf>
    <xf numFmtId="0" fontId="76" fillId="2" borderId="86" xfId="7" applyFont="1" applyFill="1" applyBorder="1" applyAlignment="1">
      <alignment horizontal="left" vertical="center" wrapText="1"/>
    </xf>
    <xf numFmtId="0" fontId="76" fillId="2" borderId="144" xfId="7" applyFont="1" applyFill="1" applyBorder="1" applyAlignment="1">
      <alignment horizontal="left" vertical="center" wrapText="1"/>
    </xf>
    <xf numFmtId="0" fontId="129" fillId="2" borderId="152" xfId="7" applyFont="1" applyFill="1" applyBorder="1" applyAlignment="1">
      <alignment horizontal="left" vertical="center" wrapText="1"/>
    </xf>
    <xf numFmtId="0" fontId="129" fillId="2" borderId="86" xfId="7" applyFont="1" applyFill="1" applyBorder="1" applyAlignment="1">
      <alignment horizontal="left" vertical="center" wrapText="1"/>
    </xf>
    <xf numFmtId="0" fontId="129" fillId="2" borderId="16" xfId="7" applyFont="1" applyFill="1" applyBorder="1" applyAlignment="1">
      <alignment horizontal="left" vertical="center" wrapText="1"/>
    </xf>
    <xf numFmtId="0" fontId="51" fillId="5" borderId="86" xfId="7" applyFont="1" applyFill="1" applyBorder="1" applyAlignment="1">
      <alignment horizontal="center" vertical="center" wrapText="1"/>
    </xf>
    <xf numFmtId="0" fontId="51" fillId="5" borderId="144" xfId="7" applyFont="1" applyFill="1" applyBorder="1" applyAlignment="1">
      <alignment horizontal="center" vertical="center" wrapText="1"/>
    </xf>
    <xf numFmtId="0" fontId="151" fillId="10" borderId="88" xfId="0" applyFont="1" applyFill="1" applyBorder="1" applyAlignment="1">
      <alignment horizontal="center" vertical="center"/>
    </xf>
    <xf numFmtId="0" fontId="151" fillId="10" borderId="38" xfId="0" applyFont="1" applyFill="1" applyBorder="1" applyAlignment="1">
      <alignment horizontal="center" vertical="center"/>
    </xf>
    <xf numFmtId="0" fontId="200" fillId="0" borderId="153" xfId="0" applyFont="1" applyBorder="1" applyAlignment="1">
      <alignment horizontal="center"/>
    </xf>
    <xf numFmtId="0" fontId="200" fillId="0" borderId="25" xfId="0" applyFont="1" applyBorder="1" applyAlignment="1">
      <alignment horizontal="center"/>
    </xf>
    <xf numFmtId="0" fontId="200" fillId="0" borderId="149" xfId="0" applyFont="1" applyBorder="1" applyAlignment="1">
      <alignment horizontal="center"/>
    </xf>
    <xf numFmtId="0" fontId="151" fillId="5" borderId="139" xfId="0" applyFont="1" applyFill="1" applyBorder="1" applyAlignment="1">
      <alignment horizontal="left" vertical="center" wrapText="1"/>
    </xf>
    <xf numFmtId="0" fontId="151" fillId="5" borderId="143" xfId="0" applyFont="1" applyFill="1" applyBorder="1" applyAlignment="1">
      <alignment horizontal="left" vertical="center" wrapText="1"/>
    </xf>
    <xf numFmtId="0" fontId="151" fillId="5" borderId="19" xfId="0" applyFont="1" applyFill="1" applyBorder="1" applyAlignment="1">
      <alignment horizontal="left" vertical="center" wrapText="1"/>
    </xf>
    <xf numFmtId="0" fontId="163" fillId="5" borderId="130" xfId="0" applyFont="1" applyFill="1" applyBorder="1" applyAlignment="1">
      <alignment horizontal="left" vertical="center"/>
    </xf>
    <xf numFmtId="0" fontId="163" fillId="5" borderId="37" xfId="0" applyFont="1" applyFill="1" applyBorder="1" applyAlignment="1">
      <alignment horizontal="left" vertical="center"/>
    </xf>
    <xf numFmtId="0" fontId="163" fillId="5" borderId="31" xfId="0" applyFont="1" applyFill="1" applyBorder="1" applyAlignment="1">
      <alignment horizontal="left" vertical="center"/>
    </xf>
    <xf numFmtId="0" fontId="151" fillId="5" borderId="130" xfId="7" applyFont="1" applyFill="1" applyBorder="1" applyAlignment="1">
      <alignment horizontal="left" vertical="center" wrapText="1"/>
    </xf>
    <xf numFmtId="0" fontId="151" fillId="5" borderId="37" xfId="7" applyFont="1" applyFill="1" applyBorder="1" applyAlignment="1">
      <alignment horizontal="left" vertical="center" wrapText="1"/>
    </xf>
    <xf numFmtId="0" fontId="151" fillId="5" borderId="31" xfId="7" applyFont="1" applyFill="1" applyBorder="1" applyAlignment="1">
      <alignment horizontal="left" vertical="center" wrapText="1"/>
    </xf>
    <xf numFmtId="49" fontId="163" fillId="5" borderId="130" xfId="7" applyNumberFormat="1" applyFont="1" applyFill="1" applyBorder="1" applyAlignment="1">
      <alignment horizontal="left" vertical="center" wrapText="1"/>
    </xf>
    <xf numFmtId="49" fontId="163" fillId="5" borderId="37" xfId="7" applyNumberFormat="1" applyFont="1" applyFill="1" applyBorder="1" applyAlignment="1">
      <alignment horizontal="left" vertical="center" wrapText="1"/>
    </xf>
    <xf numFmtId="49" fontId="163" fillId="5" borderId="31" xfId="7" applyNumberFormat="1" applyFont="1" applyFill="1" applyBorder="1" applyAlignment="1">
      <alignment horizontal="left" vertical="center" wrapText="1"/>
    </xf>
    <xf numFmtId="0" fontId="163" fillId="5" borderId="152" xfId="0" applyFont="1" applyFill="1" applyBorder="1" applyAlignment="1">
      <alignment horizontal="left" vertical="center"/>
    </xf>
    <xf numFmtId="0" fontId="163" fillId="5" borderId="86" xfId="0" applyFont="1" applyFill="1" applyBorder="1" applyAlignment="1">
      <alignment horizontal="left" vertical="center"/>
    </xf>
    <xf numFmtId="0" fontId="163" fillId="5" borderId="16" xfId="0" applyFont="1" applyFill="1" applyBorder="1" applyAlignment="1">
      <alignment horizontal="left" vertical="center"/>
    </xf>
    <xf numFmtId="0" fontId="151" fillId="2" borderId="130" xfId="7" applyFont="1" applyFill="1" applyBorder="1" applyAlignment="1">
      <alignment horizontal="left" vertical="center" wrapText="1"/>
    </xf>
    <xf numFmtId="0" fontId="151" fillId="2" borderId="37" xfId="7" applyFont="1" applyFill="1" applyBorder="1" applyAlignment="1">
      <alignment horizontal="left" vertical="center" wrapText="1"/>
    </xf>
    <xf numFmtId="0" fontId="151" fillId="2" borderId="140" xfId="7" applyFont="1" applyFill="1" applyBorder="1" applyAlignment="1">
      <alignment horizontal="left" vertical="center" wrapText="1"/>
    </xf>
    <xf numFmtId="0" fontId="116" fillId="0" borderId="31" xfId="353" applyFont="1" applyFill="1" applyBorder="1" applyAlignment="1">
      <alignment horizontal="left" vertical="center"/>
    </xf>
    <xf numFmtId="0" fontId="116" fillId="0" borderId="6" xfId="353" applyFont="1" applyFill="1" applyBorder="1" applyAlignment="1">
      <alignment horizontal="left" vertical="center"/>
    </xf>
    <xf numFmtId="0" fontId="116" fillId="0" borderId="22" xfId="353" applyFont="1" applyFill="1" applyBorder="1" applyAlignment="1">
      <alignment horizontal="left" vertical="center"/>
    </xf>
    <xf numFmtId="0" fontId="51" fillId="10" borderId="147" xfId="353" applyFont="1" applyFill="1" applyBorder="1" applyAlignment="1">
      <alignment horizontal="center" vertical="center"/>
    </xf>
    <xf numFmtId="0" fontId="51" fillId="10" borderId="49" xfId="353" applyFont="1" applyFill="1" applyBorder="1" applyAlignment="1">
      <alignment horizontal="center" vertical="center"/>
    </xf>
    <xf numFmtId="0" fontId="51" fillId="10" borderId="18" xfId="353" applyFont="1" applyFill="1" applyBorder="1" applyAlignment="1">
      <alignment horizontal="center" vertical="center"/>
    </xf>
    <xf numFmtId="0" fontId="72" fillId="0" borderId="31" xfId="353" applyFont="1" applyFill="1" applyBorder="1" applyAlignment="1">
      <alignment horizontal="left" vertical="center"/>
    </xf>
    <xf numFmtId="0" fontId="72" fillId="0" borderId="6" xfId="353" applyFont="1" applyFill="1" applyBorder="1" applyAlignment="1">
      <alignment horizontal="left" vertical="center"/>
    </xf>
    <xf numFmtId="0" fontId="72" fillId="0" borderId="22" xfId="353" applyFont="1" applyFill="1" applyBorder="1" applyAlignment="1">
      <alignment horizontal="left" vertical="center"/>
    </xf>
    <xf numFmtId="0" fontId="116" fillId="0" borderId="31" xfId="353" applyFont="1" applyFill="1" applyBorder="1" applyAlignment="1">
      <alignment horizontal="left" vertical="center" wrapText="1"/>
    </xf>
    <xf numFmtId="0" fontId="116" fillId="0" borderId="130" xfId="353" applyFont="1" applyFill="1" applyBorder="1" applyAlignment="1">
      <alignment horizontal="left" vertical="center"/>
    </xf>
    <xf numFmtId="0" fontId="116" fillId="0" borderId="37" xfId="353" applyFont="1" applyFill="1" applyBorder="1" applyAlignment="1">
      <alignment horizontal="left" vertical="center"/>
    </xf>
    <xf numFmtId="0" fontId="76" fillId="5" borderId="31" xfId="8" applyFont="1" applyFill="1" applyBorder="1" applyAlignment="1">
      <alignment horizontal="left" vertical="center" wrapText="1"/>
    </xf>
    <xf numFmtId="0" fontId="76" fillId="5" borderId="6" xfId="8" applyFont="1" applyFill="1" applyBorder="1" applyAlignment="1">
      <alignment horizontal="left" vertical="center" wrapText="1"/>
    </xf>
    <xf numFmtId="0" fontId="76" fillId="5" borderId="22" xfId="8" applyFont="1" applyFill="1" applyBorder="1" applyAlignment="1">
      <alignment horizontal="left" vertical="center" wrapText="1"/>
    </xf>
    <xf numFmtId="0" fontId="140" fillId="0" borderId="152" xfId="303" applyFont="1" applyFill="1" applyBorder="1" applyAlignment="1">
      <alignment horizontal="left" vertical="center" wrapText="1"/>
    </xf>
    <xf numFmtId="0" fontId="140" fillId="0" borderId="86" xfId="303" applyFont="1" applyFill="1" applyBorder="1" applyAlignment="1">
      <alignment horizontal="left" vertical="center" wrapText="1"/>
    </xf>
    <xf numFmtId="0" fontId="140" fillId="0" borderId="144" xfId="303" applyFont="1" applyFill="1" applyBorder="1" applyAlignment="1">
      <alignment horizontal="left" vertical="center" wrapText="1"/>
    </xf>
    <xf numFmtId="0" fontId="109" fillId="64" borderId="20" xfId="2" applyFont="1" applyFill="1" applyBorder="1" applyAlignment="1">
      <alignment horizontal="center" vertical="center" wrapText="1" shrinkToFit="1"/>
    </xf>
    <xf numFmtId="0" fontId="109" fillId="64" borderId="50" xfId="2" applyFont="1" applyFill="1" applyBorder="1" applyAlignment="1">
      <alignment horizontal="center" vertical="center" wrapText="1" shrinkToFit="1"/>
    </xf>
    <xf numFmtId="0" fontId="109" fillId="64" borderId="154" xfId="2" applyFont="1" applyFill="1" applyBorder="1" applyAlignment="1">
      <alignment horizontal="center" vertical="center" wrapText="1" shrinkToFit="1"/>
    </xf>
    <xf numFmtId="0" fontId="109" fillId="64" borderId="27" xfId="2" applyFont="1" applyFill="1" applyBorder="1" applyAlignment="1">
      <alignment horizontal="center" vertical="center" wrapText="1" shrinkToFit="1"/>
    </xf>
    <xf numFmtId="0" fontId="109" fillId="64" borderId="18" xfId="2" applyFont="1" applyFill="1" applyBorder="1" applyAlignment="1">
      <alignment horizontal="center" vertical="center" wrapText="1" shrinkToFit="1"/>
    </xf>
    <xf numFmtId="0" fontId="109" fillId="64" borderId="17" xfId="2" applyFont="1" applyFill="1" applyBorder="1" applyAlignment="1">
      <alignment horizontal="center" vertical="center" wrapText="1" shrinkToFit="1"/>
    </xf>
    <xf numFmtId="0" fontId="109" fillId="64" borderId="15" xfId="2" applyFont="1" applyFill="1" applyBorder="1" applyAlignment="1">
      <alignment horizontal="center" vertical="center" wrapText="1" shrinkToFit="1"/>
    </xf>
    <xf numFmtId="0" fontId="109" fillId="64" borderId="153" xfId="2" applyFont="1" applyFill="1" applyBorder="1" applyAlignment="1">
      <alignment horizontal="center" vertical="center" wrapText="1" shrinkToFit="1"/>
    </xf>
    <xf numFmtId="0" fontId="109" fillId="64" borderId="25" xfId="2" applyFont="1" applyFill="1" applyBorder="1" applyAlignment="1">
      <alignment horizontal="center" vertical="center" wrapText="1" shrinkToFit="1"/>
    </xf>
    <xf numFmtId="0" fontId="109" fillId="64" borderId="149" xfId="2" applyFont="1" applyFill="1" applyBorder="1" applyAlignment="1">
      <alignment horizontal="center" vertical="center" wrapText="1" shrinkToFit="1"/>
    </xf>
    <xf numFmtId="0" fontId="110" fillId="2" borderId="20" xfId="2" applyFont="1" applyFill="1" applyBorder="1" applyAlignment="1">
      <alignment horizontal="center" vertical="center" wrapText="1"/>
    </xf>
    <xf numFmtId="0" fontId="110" fillId="2" borderId="23" xfId="2" applyFont="1" applyFill="1" applyBorder="1" applyAlignment="1">
      <alignment horizontal="center" vertical="center" wrapText="1"/>
    </xf>
    <xf numFmtId="0" fontId="110" fillId="2" borderId="17" xfId="2" applyFont="1" applyFill="1" applyBorder="1" applyAlignment="1">
      <alignment horizontal="center" vertical="center" wrapText="1"/>
    </xf>
    <xf numFmtId="49" fontId="127" fillId="5" borderId="150" xfId="2" applyNumberFormat="1" applyFont="1" applyFill="1" applyBorder="1" applyAlignment="1">
      <alignment horizontal="center" vertical="center" wrapText="1"/>
    </xf>
    <xf numFmtId="49" fontId="127" fillId="5" borderId="36" xfId="2" applyNumberFormat="1" applyFont="1" applyFill="1" applyBorder="1" applyAlignment="1">
      <alignment horizontal="center" vertical="center" wrapText="1"/>
    </xf>
    <xf numFmtId="49" fontId="127" fillId="5" borderId="39" xfId="2" applyNumberFormat="1" applyFont="1" applyFill="1" applyBorder="1" applyAlignment="1">
      <alignment horizontal="center" vertical="center" wrapText="1"/>
    </xf>
    <xf numFmtId="2" fontId="122" fillId="5" borderId="49" xfId="2" applyNumberFormat="1" applyFont="1" applyFill="1" applyBorder="1" applyAlignment="1">
      <alignment horizontal="left" vertical="center"/>
    </xf>
    <xf numFmtId="2" fontId="122" fillId="5" borderId="6" xfId="2" applyNumberFormat="1" applyFont="1" applyFill="1" applyBorder="1" applyAlignment="1">
      <alignment horizontal="left" vertical="center"/>
    </xf>
    <xf numFmtId="2" fontId="147" fillId="5" borderId="21" xfId="2" applyNumberFormat="1" applyFont="1" applyFill="1" applyBorder="1" applyAlignment="1">
      <alignment horizontal="left" vertical="center"/>
    </xf>
    <xf numFmtId="0" fontId="136" fillId="0" borderId="0" xfId="353" applyFont="1" applyAlignment="1">
      <alignment horizontal="center"/>
    </xf>
    <xf numFmtId="0" fontId="111" fillId="65" borderId="20" xfId="2" applyFont="1" applyFill="1" applyBorder="1" applyAlignment="1">
      <alignment horizontal="center" vertical="center" wrapText="1"/>
    </xf>
    <xf numFmtId="0" fontId="111" fillId="65" borderId="23" xfId="2" applyFont="1" applyFill="1" applyBorder="1" applyAlignment="1">
      <alignment horizontal="center" vertical="center" wrapText="1"/>
    </xf>
    <xf numFmtId="0" fontId="111" fillId="65" borderId="17" xfId="2" applyFont="1" applyFill="1" applyBorder="1" applyAlignment="1">
      <alignment horizontal="center" vertical="center" wrapText="1"/>
    </xf>
    <xf numFmtId="0" fontId="184" fillId="5" borderId="150" xfId="0" applyFont="1" applyFill="1" applyBorder="1" applyAlignment="1">
      <alignment horizontal="center" vertical="center" wrapText="1"/>
    </xf>
    <xf numFmtId="0" fontId="184" fillId="5" borderId="36" xfId="0" applyFont="1" applyFill="1" applyBorder="1" applyAlignment="1">
      <alignment horizontal="center" vertical="center" wrapText="1"/>
    </xf>
    <xf numFmtId="0" fontId="184" fillId="5" borderId="39" xfId="0" applyFont="1" applyFill="1" applyBorder="1" applyAlignment="1">
      <alignment horizontal="center" vertical="center" wrapText="1"/>
    </xf>
    <xf numFmtId="2" fontId="122" fillId="5" borderId="6" xfId="2" applyNumberFormat="1" applyFont="1" applyFill="1" applyBorder="1" applyAlignment="1">
      <alignment horizontal="left" vertical="center" wrapText="1"/>
    </xf>
    <xf numFmtId="0" fontId="51" fillId="2" borderId="195" xfId="353" applyFont="1" applyFill="1" applyBorder="1" applyAlignment="1">
      <alignment horizontal="center" vertical="center"/>
    </xf>
    <xf numFmtId="0" fontId="51" fillId="2" borderId="193" xfId="353" applyFont="1" applyFill="1" applyBorder="1" applyAlignment="1">
      <alignment horizontal="center" vertical="center"/>
    </xf>
    <xf numFmtId="0" fontId="134" fillId="72" borderId="121" xfId="353" applyFont="1" applyFill="1" applyBorder="1" applyAlignment="1">
      <alignment horizontal="center" vertical="center" wrapText="1"/>
    </xf>
    <xf numFmtId="0" fontId="134" fillId="72" borderId="122" xfId="353" applyFont="1" applyFill="1" applyBorder="1" applyAlignment="1">
      <alignment horizontal="center" vertical="center" wrapText="1"/>
    </xf>
    <xf numFmtId="0" fontId="134" fillId="8" borderId="153" xfId="353" applyFont="1" applyFill="1" applyBorder="1" applyAlignment="1">
      <alignment horizontal="center" vertical="center"/>
    </xf>
    <xf numFmtId="0" fontId="134" fillId="8" borderId="25" xfId="353" applyFont="1" applyFill="1" applyBorder="1" applyAlignment="1">
      <alignment horizontal="center" vertical="center"/>
    </xf>
    <xf numFmtId="0" fontId="134" fillId="8" borderId="149" xfId="353" applyFont="1" applyFill="1" applyBorder="1" applyAlignment="1">
      <alignment horizontal="center" vertical="center"/>
    </xf>
    <xf numFmtId="0" fontId="49" fillId="0" borderId="130" xfId="262" applyFont="1" applyFill="1" applyBorder="1" applyAlignment="1">
      <alignment horizontal="left" vertical="center"/>
    </xf>
    <xf numFmtId="0" fontId="49" fillId="0" borderId="37" xfId="262" applyFont="1" applyFill="1" applyBorder="1" applyAlignment="1">
      <alignment horizontal="left" vertical="center"/>
    </xf>
    <xf numFmtId="0" fontId="49" fillId="0" borderId="140" xfId="262" applyFont="1" applyFill="1" applyBorder="1" applyAlignment="1">
      <alignment horizontal="left" vertical="center"/>
    </xf>
    <xf numFmtId="0" fontId="51" fillId="10" borderId="120" xfId="262" applyFont="1" applyFill="1" applyBorder="1" applyAlignment="1">
      <alignment horizontal="center" vertical="center"/>
    </xf>
    <xf numFmtId="0" fontId="51" fillId="10" borderId="121" xfId="262" applyFont="1" applyFill="1" applyBorder="1" applyAlignment="1">
      <alignment horizontal="center" vertical="center"/>
    </xf>
    <xf numFmtId="0" fontId="51" fillId="10" borderId="122" xfId="262" applyFont="1" applyFill="1" applyBorder="1" applyAlignment="1">
      <alignment horizontal="center" vertical="center"/>
    </xf>
    <xf numFmtId="0" fontId="51" fillId="0" borderId="139" xfId="262" applyFont="1" applyFill="1" applyBorder="1" applyAlignment="1">
      <alignment horizontal="left" vertical="center"/>
    </xf>
    <xf numFmtId="0" fontId="51" fillId="0" borderId="143" xfId="262" applyFont="1" applyFill="1" applyBorder="1" applyAlignment="1">
      <alignment horizontal="left" vertical="center"/>
    </xf>
    <xf numFmtId="0" fontId="51" fillId="0" borderId="19" xfId="262" applyFont="1" applyFill="1" applyBorder="1" applyAlignment="1">
      <alignment horizontal="left" vertical="center"/>
    </xf>
    <xf numFmtId="0" fontId="52" fillId="5" borderId="130" xfId="8" applyFont="1" applyFill="1" applyBorder="1" applyAlignment="1">
      <alignment horizontal="left" vertical="center" wrapText="1"/>
    </xf>
    <xf numFmtId="0" fontId="76" fillId="5" borderId="130" xfId="8" applyFont="1" applyFill="1" applyBorder="1" applyAlignment="1">
      <alignment horizontal="left" vertical="center" wrapText="1"/>
    </xf>
    <xf numFmtId="0" fontId="76" fillId="5" borderId="37" xfId="8" applyFont="1" applyFill="1" applyBorder="1" applyAlignment="1">
      <alignment horizontal="left" vertical="center" wrapText="1"/>
    </xf>
    <xf numFmtId="0" fontId="76" fillId="5" borderId="140" xfId="8" applyFont="1" applyFill="1" applyBorder="1" applyAlignment="1">
      <alignment horizontal="left" vertical="center" wrapText="1"/>
    </xf>
    <xf numFmtId="0" fontId="49" fillId="0" borderId="152" xfId="262" applyFont="1" applyFill="1" applyBorder="1" applyAlignment="1">
      <alignment horizontal="left" vertical="center"/>
    </xf>
    <xf numFmtId="0" fontId="49" fillId="0" borderId="86" xfId="262" applyFont="1" applyFill="1" applyBorder="1" applyAlignment="1">
      <alignment horizontal="left" vertical="center"/>
    </xf>
    <xf numFmtId="0" fontId="49" fillId="0" borderId="144" xfId="262" applyFont="1" applyFill="1" applyBorder="1" applyAlignment="1">
      <alignment horizontal="left" vertical="center"/>
    </xf>
    <xf numFmtId="0" fontId="52" fillId="0" borderId="35" xfId="2" applyFont="1" applyBorder="1" applyAlignment="1">
      <alignment horizontal="justify" vertical="center" wrapText="1"/>
    </xf>
    <xf numFmtId="0" fontId="55" fillId="2" borderId="63" xfId="2" applyFont="1" applyFill="1" applyBorder="1" applyAlignment="1">
      <alignment horizontal="left" vertical="center" wrapText="1"/>
    </xf>
    <xf numFmtId="0" fontId="55" fillId="2" borderId="64" xfId="2" applyFont="1" applyFill="1" applyBorder="1" applyAlignment="1">
      <alignment horizontal="left" vertical="center" wrapText="1"/>
    </xf>
    <xf numFmtId="49" fontId="68" fillId="0" borderId="64" xfId="2" applyNumberFormat="1" applyFont="1" applyFill="1" applyBorder="1" applyAlignment="1">
      <alignment horizontal="left" vertical="center" wrapText="1"/>
    </xf>
    <xf numFmtId="49" fontId="68" fillId="0" borderId="204" xfId="2" applyNumberFormat="1" applyFont="1" applyFill="1" applyBorder="1" applyAlignment="1">
      <alignment horizontal="left" vertical="center" wrapText="1"/>
    </xf>
    <xf numFmtId="49" fontId="68" fillId="0" borderId="65" xfId="2" applyNumberFormat="1" applyFont="1" applyFill="1" applyBorder="1" applyAlignment="1">
      <alignment horizontal="left" vertical="center" wrapText="1"/>
    </xf>
    <xf numFmtId="0" fontId="49" fillId="7" borderId="148" xfId="0" applyFont="1" applyFill="1" applyBorder="1" applyAlignment="1">
      <alignment horizontal="center" vertical="center" wrapText="1"/>
    </xf>
    <xf numFmtId="0" fontId="49" fillId="7" borderId="192"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50" fillId="2" borderId="107" xfId="0" applyFont="1" applyFill="1" applyBorder="1" applyAlignment="1">
      <alignment horizontal="center" vertical="center" wrapText="1"/>
    </xf>
    <xf numFmtId="0" fontId="50" fillId="2" borderId="153" xfId="0" applyFont="1" applyFill="1" applyBorder="1" applyAlignment="1">
      <alignment horizontal="center" vertical="center" wrapText="1"/>
    </xf>
    <xf numFmtId="0" fontId="50" fillId="2" borderId="25" xfId="0" applyFont="1" applyFill="1" applyBorder="1" applyAlignment="1">
      <alignment horizontal="center" vertical="center" wrapText="1"/>
    </xf>
    <xf numFmtId="0" fontId="50" fillId="2" borderId="149" xfId="0" applyFont="1" applyFill="1" applyBorder="1" applyAlignment="1">
      <alignment horizontal="center" vertical="center" wrapText="1"/>
    </xf>
    <xf numFmtId="0" fontId="64" fillId="2" borderId="148" xfId="0" applyFont="1" applyFill="1" applyBorder="1" applyAlignment="1">
      <alignment horizontal="center" vertical="center" wrapText="1"/>
    </xf>
    <xf numFmtId="0" fontId="64" fillId="2" borderId="192" xfId="0" applyFont="1" applyFill="1" applyBorder="1" applyAlignment="1">
      <alignment horizontal="center" vertical="center" wrapText="1"/>
    </xf>
    <xf numFmtId="0" fontId="52" fillId="2" borderId="197" xfId="2" applyFont="1" applyFill="1" applyBorder="1" applyAlignment="1">
      <alignment horizontal="center" vertical="center" wrapText="1"/>
    </xf>
    <xf numFmtId="0" fontId="52" fillId="0" borderId="35" xfId="2" applyFont="1" applyFill="1" applyBorder="1" applyAlignment="1">
      <alignment horizontal="justify" vertical="center" wrapText="1"/>
    </xf>
    <xf numFmtId="0" fontId="55" fillId="2" borderId="24" xfId="2" applyFont="1" applyFill="1" applyBorder="1" applyAlignment="1">
      <alignment horizontal="left" vertical="center" wrapText="1"/>
    </xf>
    <xf numFmtId="0" fontId="151" fillId="0" borderId="5" xfId="2" applyFont="1" applyFill="1" applyBorder="1" applyAlignment="1">
      <alignment horizontal="left" vertical="center" wrapText="1"/>
    </xf>
    <xf numFmtId="0" fontId="151" fillId="0" borderId="34" xfId="2" applyFont="1" applyFill="1" applyBorder="1" applyAlignment="1">
      <alignment horizontal="left" vertical="center" wrapText="1"/>
    </xf>
    <xf numFmtId="0" fontId="52" fillId="2" borderId="167" xfId="2" applyFont="1" applyFill="1" applyBorder="1" applyAlignment="1">
      <alignment horizontal="center" vertical="center" wrapText="1"/>
    </xf>
    <xf numFmtId="0" fontId="52" fillId="0" borderId="22" xfId="2" applyFont="1" applyFill="1" applyBorder="1" applyAlignment="1">
      <alignment horizontal="left" vertical="center" wrapText="1"/>
    </xf>
    <xf numFmtId="0" fontId="52" fillId="0" borderId="22" xfId="2" applyFont="1" applyBorder="1" applyAlignment="1">
      <alignment horizontal="left" vertical="center" wrapText="1"/>
    </xf>
    <xf numFmtId="0" fontId="52" fillId="0" borderId="22" xfId="2" applyFont="1" applyBorder="1" applyAlignment="1">
      <alignment horizontal="justify" vertical="center" wrapText="1"/>
    </xf>
    <xf numFmtId="0" fontId="52" fillId="0" borderId="22" xfId="2" applyFont="1" applyFill="1" applyBorder="1" applyAlignment="1">
      <alignment horizontal="justify" vertical="center" wrapText="1"/>
    </xf>
    <xf numFmtId="0" fontId="91" fillId="79" borderId="6" xfId="310" applyFont="1" applyFill="1" applyBorder="1" applyAlignment="1">
      <alignment horizontal="center" vertical="center" wrapText="1"/>
    </xf>
    <xf numFmtId="0" fontId="91" fillId="79" borderId="22" xfId="310" applyFont="1" applyFill="1" applyBorder="1" applyAlignment="1">
      <alignment horizontal="center" vertical="center" wrapText="1"/>
    </xf>
    <xf numFmtId="0" fontId="128" fillId="10" borderId="120" xfId="2" applyFont="1" applyFill="1" applyBorder="1" applyAlignment="1">
      <alignment horizontal="center"/>
    </xf>
    <xf numFmtId="0" fontId="128" fillId="10" borderId="121" xfId="2" applyFont="1" applyFill="1" applyBorder="1" applyAlignment="1">
      <alignment horizontal="center"/>
    </xf>
    <xf numFmtId="0" fontId="128" fillId="10" borderId="122" xfId="2" applyFont="1" applyFill="1" applyBorder="1" applyAlignment="1">
      <alignment horizontal="center"/>
    </xf>
    <xf numFmtId="0" fontId="138" fillId="79" borderId="139" xfId="2" applyFont="1" applyFill="1" applyBorder="1" applyAlignment="1">
      <alignment horizontal="center" vertical="center" wrapText="1"/>
    </xf>
    <xf numFmtId="0" fontId="138" fillId="79" borderId="152" xfId="2" applyFont="1" applyFill="1" applyBorder="1" applyAlignment="1">
      <alignment horizontal="center" vertical="center" wrapText="1"/>
    </xf>
    <xf numFmtId="0" fontId="138" fillId="79" borderId="48" xfId="2" applyFont="1" applyFill="1" applyBorder="1" applyAlignment="1">
      <alignment horizontal="center" vertical="center"/>
    </xf>
    <xf numFmtId="0" fontId="138" fillId="79" borderId="13" xfId="2" applyFont="1" applyFill="1" applyBorder="1" applyAlignment="1">
      <alignment horizontal="center" vertical="center"/>
    </xf>
    <xf numFmtId="0" fontId="138" fillId="79" borderId="12" xfId="2" applyFont="1" applyFill="1" applyBorder="1" applyAlignment="1">
      <alignment horizontal="center" vertical="center"/>
    </xf>
    <xf numFmtId="0" fontId="91" fillId="79" borderId="148" xfId="310" applyFont="1" applyFill="1" applyBorder="1" applyAlignment="1">
      <alignment horizontal="center" vertical="center" wrapText="1"/>
    </xf>
    <xf numFmtId="0" fontId="91" fillId="79" borderId="192" xfId="310" applyFont="1" applyFill="1" applyBorder="1" applyAlignment="1">
      <alignment horizontal="center" vertical="center" wrapText="1"/>
    </xf>
    <xf numFmtId="0" fontId="138" fillId="79" borderId="147" xfId="2" applyFont="1" applyFill="1" applyBorder="1" applyAlignment="1">
      <alignment horizontal="center" vertical="center" wrapText="1"/>
    </xf>
    <xf numFmtId="0" fontId="138" fillId="79" borderId="150" xfId="2" applyFont="1" applyFill="1" applyBorder="1" applyAlignment="1">
      <alignment horizontal="center" vertical="center" wrapText="1"/>
    </xf>
    <xf numFmtId="0" fontId="138" fillId="79" borderId="194" xfId="2" applyFont="1" applyFill="1" applyBorder="1" applyAlignment="1">
      <alignment horizontal="center" vertical="center" wrapText="1"/>
    </xf>
    <xf numFmtId="0" fontId="128" fillId="10" borderId="153" xfId="2" applyFont="1" applyFill="1" applyBorder="1" applyAlignment="1">
      <alignment horizontal="center"/>
    </xf>
    <xf numFmtId="0" fontId="128" fillId="10" borderId="25" xfId="2" applyFont="1" applyFill="1" applyBorder="1" applyAlignment="1">
      <alignment horizontal="center"/>
    </xf>
    <xf numFmtId="0" fontId="128" fillId="10" borderId="149" xfId="2" applyFont="1" applyFill="1" applyBorder="1" applyAlignment="1">
      <alignment horizontal="center"/>
    </xf>
    <xf numFmtId="0" fontId="51" fillId="10" borderId="20" xfId="2" applyFont="1" applyFill="1" applyBorder="1" applyAlignment="1">
      <alignment horizontal="center" vertical="center" wrapText="1"/>
    </xf>
    <xf numFmtId="0" fontId="51" fillId="10" borderId="49" xfId="2" applyFont="1" applyFill="1" applyBorder="1" applyAlignment="1">
      <alignment horizontal="center" vertical="center"/>
    </xf>
    <xf numFmtId="0" fontId="51" fillId="10" borderId="18" xfId="2" applyFont="1" applyFill="1" applyBorder="1" applyAlignment="1">
      <alignment horizontal="center" vertical="center"/>
    </xf>
    <xf numFmtId="0" fontId="51" fillId="10" borderId="20" xfId="2" applyFont="1" applyFill="1" applyBorder="1" applyAlignment="1">
      <alignment horizontal="center" vertical="center"/>
    </xf>
    <xf numFmtId="49" fontId="68" fillId="0" borderId="25" xfId="2" applyNumberFormat="1" applyFont="1" applyFill="1" applyBorder="1" applyAlignment="1">
      <alignment horizontal="left" vertical="center" wrapText="1"/>
    </xf>
    <xf numFmtId="49" fontId="68" fillId="0" borderId="149" xfId="2" applyNumberFormat="1" applyFont="1" applyFill="1" applyBorder="1" applyAlignment="1">
      <alignment horizontal="left" vertical="center" wrapText="1"/>
    </xf>
    <xf numFmtId="0" fontId="52" fillId="79" borderId="23" xfId="2" applyFont="1" applyFill="1" applyBorder="1" applyAlignment="1">
      <alignment horizontal="center" vertical="center" wrapText="1"/>
    </xf>
    <xf numFmtId="0" fontId="52" fillId="79" borderId="6" xfId="2" applyFont="1" applyFill="1" applyBorder="1" applyAlignment="1">
      <alignment horizontal="center" vertical="center" wrapText="1"/>
    </xf>
    <xf numFmtId="0" fontId="64" fillId="79" borderId="6" xfId="2" applyFont="1" applyFill="1" applyBorder="1" applyAlignment="1">
      <alignment horizontal="center" vertical="center" wrapText="1"/>
    </xf>
    <xf numFmtId="0" fontId="64" fillId="79" borderId="22" xfId="2" applyFont="1" applyFill="1" applyBorder="1" applyAlignment="1">
      <alignment horizontal="center" vertical="center" wrapText="1"/>
    </xf>
    <xf numFmtId="0" fontId="52" fillId="79" borderId="135" xfId="2" applyFont="1" applyFill="1" applyBorder="1" applyAlignment="1">
      <alignment horizontal="center" vertical="center" wrapText="1"/>
    </xf>
    <xf numFmtId="0" fontId="91" fillId="79" borderId="23" xfId="310" applyFont="1" applyFill="1" applyBorder="1" applyAlignment="1">
      <alignment horizontal="center" vertical="center" wrapText="1"/>
    </xf>
    <xf numFmtId="0" fontId="136" fillId="0" borderId="0" xfId="413" applyFont="1" applyBorder="1" applyAlignment="1">
      <alignment horizontal="center"/>
    </xf>
    <xf numFmtId="0" fontId="152" fillId="0" borderId="153" xfId="413" applyFont="1" applyFill="1" applyBorder="1" applyAlignment="1">
      <alignment horizontal="center" vertical="center"/>
    </xf>
    <xf numFmtId="0" fontId="152" fillId="0" borderId="149" xfId="413" applyFont="1" applyFill="1" applyBorder="1" applyAlignment="1">
      <alignment horizontal="center" vertical="center"/>
    </xf>
    <xf numFmtId="0" fontId="152" fillId="0" borderId="25" xfId="413" applyFont="1" applyFill="1" applyBorder="1" applyAlignment="1">
      <alignment horizontal="center" vertical="center"/>
    </xf>
    <xf numFmtId="0" fontId="51" fillId="10" borderId="147" xfId="413" applyFont="1" applyFill="1" applyBorder="1" applyAlignment="1">
      <alignment horizontal="center" vertical="center"/>
    </xf>
    <xf numFmtId="0" fontId="51" fillId="10" borderId="49" xfId="413" applyFont="1" applyFill="1" applyBorder="1" applyAlignment="1">
      <alignment horizontal="center" vertical="center"/>
    </xf>
    <xf numFmtId="0" fontId="51" fillId="10" borderId="18" xfId="413" applyFont="1" applyFill="1" applyBorder="1" applyAlignment="1">
      <alignment horizontal="center" vertical="center"/>
    </xf>
    <xf numFmtId="0" fontId="51" fillId="0" borderId="31" xfId="413" applyFont="1" applyFill="1" applyBorder="1" applyAlignment="1">
      <alignment horizontal="left" vertical="center"/>
    </xf>
    <xf numFmtId="0" fontId="51" fillId="0" borderId="6" xfId="413" applyFont="1" applyFill="1" applyBorder="1" applyAlignment="1">
      <alignment horizontal="left" vertical="center"/>
    </xf>
    <xf numFmtId="0" fontId="51" fillId="0" borderId="22" xfId="413" applyFont="1" applyFill="1" applyBorder="1" applyAlignment="1">
      <alignment horizontal="left" vertical="center"/>
    </xf>
    <xf numFmtId="0" fontId="116" fillId="0" borderId="31" xfId="413" applyFont="1" applyFill="1" applyBorder="1" applyAlignment="1">
      <alignment horizontal="left" vertical="center"/>
    </xf>
    <xf numFmtId="0" fontId="116" fillId="0" borderId="6" xfId="413" applyFont="1" applyFill="1" applyBorder="1" applyAlignment="1">
      <alignment horizontal="left" vertical="center"/>
    </xf>
    <xf numFmtId="0" fontId="116" fillId="0" borderId="22" xfId="413" applyFont="1" applyFill="1" applyBorder="1" applyAlignment="1">
      <alignment horizontal="left" vertical="center"/>
    </xf>
    <xf numFmtId="0" fontId="49" fillId="0" borderId="31" xfId="413" applyFont="1" applyFill="1" applyBorder="1" applyAlignment="1">
      <alignment horizontal="left" vertical="center"/>
    </xf>
    <xf numFmtId="0" fontId="49" fillId="0" borderId="6" xfId="413" applyFont="1" applyFill="1" applyBorder="1" applyAlignment="1">
      <alignment horizontal="left" vertical="center"/>
    </xf>
    <xf numFmtId="0" fontId="49" fillId="0" borderId="22" xfId="413" applyFont="1" applyFill="1" applyBorder="1" applyAlignment="1">
      <alignment horizontal="left" vertical="center"/>
    </xf>
    <xf numFmtId="0" fontId="52" fillId="5" borderId="31" xfId="8" applyFont="1" applyFill="1" applyBorder="1" applyAlignment="1">
      <alignment horizontal="left" vertical="center" wrapText="1"/>
    </xf>
    <xf numFmtId="0" fontId="52" fillId="5" borderId="6" xfId="8" applyFont="1" applyFill="1" applyBorder="1" applyAlignment="1">
      <alignment horizontal="left" vertical="center" wrapText="1"/>
    </xf>
    <xf numFmtId="0" fontId="52" fillId="5" borderId="22" xfId="8" applyFont="1" applyFill="1" applyBorder="1" applyAlignment="1">
      <alignment horizontal="left" vertical="center" wrapText="1"/>
    </xf>
    <xf numFmtId="0" fontId="116" fillId="0" borderId="16" xfId="413" applyFont="1" applyFill="1" applyBorder="1" applyAlignment="1">
      <alignment horizontal="left" vertical="center"/>
    </xf>
    <xf numFmtId="0" fontId="116" fillId="0" borderId="21" xfId="413" applyFont="1" applyFill="1" applyBorder="1" applyAlignment="1">
      <alignment horizontal="left" vertical="center"/>
    </xf>
    <xf numFmtId="0" fontId="116" fillId="0" borderId="15" xfId="413" applyFont="1" applyFill="1" applyBorder="1" applyAlignment="1">
      <alignment horizontal="left" vertical="center"/>
    </xf>
    <xf numFmtId="0" fontId="109" fillId="8" borderId="120" xfId="414" applyFont="1" applyFill="1" applyBorder="1" applyAlignment="1">
      <alignment horizontal="center" vertical="center"/>
    </xf>
    <xf numFmtId="0" fontId="109" fillId="8" borderId="121" xfId="414" applyFont="1" applyFill="1" applyBorder="1" applyAlignment="1">
      <alignment horizontal="center" vertical="center"/>
    </xf>
    <xf numFmtId="0" fontId="109" fillId="8" borderId="122" xfId="414" applyFont="1" applyFill="1" applyBorder="1" applyAlignment="1">
      <alignment horizontal="center" vertical="center"/>
    </xf>
    <xf numFmtId="0" fontId="89" fillId="0" borderId="0" xfId="413" applyFont="1" applyBorder="1" applyAlignment="1">
      <alignment horizontal="center"/>
    </xf>
    <xf numFmtId="0" fontId="51" fillId="2" borderId="195" xfId="413" applyFont="1" applyFill="1" applyBorder="1" applyAlignment="1">
      <alignment horizontal="center" vertical="center"/>
    </xf>
    <xf numFmtId="0" fontId="51" fillId="2" borderId="125" xfId="413" applyFont="1" applyFill="1" applyBorder="1" applyAlignment="1">
      <alignment horizontal="center" vertical="center"/>
    </xf>
    <xf numFmtId="0" fontId="51" fillId="2" borderId="193" xfId="413" applyFont="1" applyFill="1" applyBorder="1" applyAlignment="1">
      <alignment horizontal="center" vertical="center"/>
    </xf>
    <xf numFmtId="0" fontId="134" fillId="72" borderId="25" xfId="413" applyFont="1" applyFill="1" applyBorder="1" applyAlignment="1">
      <alignment horizontal="center" vertical="center"/>
    </xf>
    <xf numFmtId="0" fontId="134" fillId="72" borderId="149" xfId="413" applyFont="1" applyFill="1" applyBorder="1" applyAlignment="1">
      <alignment horizontal="center" vertical="center"/>
    </xf>
    <xf numFmtId="0" fontId="134" fillId="8" borderId="25" xfId="413" applyFont="1" applyFill="1" applyBorder="1" applyAlignment="1">
      <alignment horizontal="center" vertical="center"/>
    </xf>
    <xf numFmtId="0" fontId="134" fillId="8" borderId="149" xfId="413" applyFont="1" applyFill="1" applyBorder="1" applyAlignment="1">
      <alignment horizontal="center" vertical="center"/>
    </xf>
    <xf numFmtId="0" fontId="134" fillId="72" borderId="153" xfId="413" applyFont="1" applyFill="1" applyBorder="1" applyAlignment="1">
      <alignment horizontal="center" vertical="center"/>
    </xf>
    <xf numFmtId="0" fontId="134" fillId="8" borderId="38" xfId="413" applyFont="1" applyFill="1" applyBorder="1" applyAlignment="1">
      <alignment horizontal="center" vertical="center"/>
    </xf>
    <xf numFmtId="0" fontId="134" fillId="8" borderId="117" xfId="413" applyFont="1" applyFill="1" applyBorder="1" applyAlignment="1">
      <alignment horizontal="center" vertical="center"/>
    </xf>
    <xf numFmtId="0" fontId="134" fillId="8" borderId="153" xfId="413" applyFont="1" applyFill="1" applyBorder="1" applyAlignment="1">
      <alignment horizontal="center" vertical="center"/>
    </xf>
    <xf numFmtId="0" fontId="167" fillId="80" borderId="153" xfId="0" applyFont="1" applyFill="1" applyBorder="1" applyAlignment="1">
      <alignment horizontal="center"/>
    </xf>
    <xf numFmtId="0" fontId="167" fillId="80" borderId="25" xfId="0" applyFont="1" applyFill="1" applyBorder="1" applyAlignment="1">
      <alignment horizontal="center"/>
    </xf>
    <xf numFmtId="0" fontId="167" fillId="80" borderId="149" xfId="0" applyFont="1" applyFill="1" applyBorder="1" applyAlignment="1">
      <alignment horizontal="center"/>
    </xf>
    <xf numFmtId="0" fontId="192" fillId="0" borderId="139" xfId="0" applyFont="1" applyBorder="1" applyAlignment="1">
      <alignment horizontal="left" wrapText="1"/>
    </xf>
    <xf numFmtId="0" fontId="192" fillId="0" borderId="143" xfId="0" applyFont="1" applyBorder="1" applyAlignment="1">
      <alignment horizontal="left" wrapText="1"/>
    </xf>
    <xf numFmtId="0" fontId="192" fillId="0" borderId="113" xfId="0" applyFont="1" applyBorder="1" applyAlignment="1">
      <alignment horizontal="left" wrapText="1"/>
    </xf>
    <xf numFmtId="0" fontId="192" fillId="0" borderId="130" xfId="0" applyFont="1" applyBorder="1" applyAlignment="1">
      <alignment horizontal="left" wrapText="1"/>
    </xf>
    <xf numFmtId="0" fontId="192" fillId="0" borderId="37" xfId="0" applyFont="1" applyBorder="1" applyAlignment="1">
      <alignment horizontal="left" wrapText="1"/>
    </xf>
    <xf numFmtId="0" fontId="192" fillId="0" borderId="140" xfId="0" applyFont="1" applyBorder="1" applyAlignment="1">
      <alignment horizontal="left" wrapText="1"/>
    </xf>
    <xf numFmtId="0" fontId="192" fillId="0" borderId="130" xfId="0" applyFont="1" applyBorder="1" applyAlignment="1">
      <alignment horizontal="left" vertical="center" wrapText="1"/>
    </xf>
    <xf numFmtId="0" fontId="192" fillId="0" borderId="37" xfId="0" applyFont="1" applyBorder="1" applyAlignment="1">
      <alignment horizontal="left" vertical="center" wrapText="1"/>
    </xf>
    <xf numFmtId="0" fontId="192" fillId="0" borderId="140" xfId="0" applyFont="1" applyBorder="1" applyAlignment="1">
      <alignment horizontal="left" vertical="center" wrapText="1"/>
    </xf>
    <xf numFmtId="0" fontId="157" fillId="0" borderId="152" xfId="0" applyFont="1" applyBorder="1" applyAlignment="1">
      <alignment horizontal="left"/>
    </xf>
    <xf numFmtId="0" fontId="157" fillId="0" borderId="86" xfId="0" applyFont="1" applyBorder="1" applyAlignment="1">
      <alignment horizontal="left"/>
    </xf>
    <xf numFmtId="0" fontId="157" fillId="0" borderId="144" xfId="0" applyFont="1" applyBorder="1" applyAlignment="1">
      <alignment horizontal="left"/>
    </xf>
    <xf numFmtId="0" fontId="167" fillId="86" borderId="183" xfId="0" applyFont="1" applyFill="1" applyBorder="1" applyAlignment="1">
      <alignment horizontal="center"/>
    </xf>
    <xf numFmtId="0" fontId="167" fillId="86" borderId="29" xfId="0" applyFont="1" applyFill="1" applyBorder="1" applyAlignment="1">
      <alignment horizontal="center"/>
    </xf>
    <xf numFmtId="0" fontId="167" fillId="86" borderId="106" xfId="0" applyFont="1" applyFill="1" applyBorder="1" applyAlignment="1">
      <alignment horizontal="center"/>
    </xf>
    <xf numFmtId="0" fontId="192" fillId="0" borderId="31" xfId="0" applyFont="1" applyBorder="1" applyAlignment="1">
      <alignment horizontal="left" wrapText="1"/>
    </xf>
    <xf numFmtId="0" fontId="213" fillId="0" borderId="130" xfId="0" applyFont="1" applyBorder="1" applyAlignment="1">
      <alignment horizontal="left" wrapText="1"/>
    </xf>
    <xf numFmtId="0" fontId="213" fillId="0" borderId="37" xfId="0" applyFont="1" applyBorder="1" applyAlignment="1">
      <alignment horizontal="left" wrapText="1"/>
    </xf>
    <xf numFmtId="0" fontId="213" fillId="0" borderId="31" xfId="0" applyFont="1" applyBorder="1" applyAlignment="1">
      <alignment horizontal="left" wrapText="1"/>
    </xf>
    <xf numFmtId="0" fontId="125" fillId="0" borderId="130" xfId="0" applyFont="1" applyBorder="1" applyAlignment="1">
      <alignment horizontal="left"/>
    </xf>
    <xf numFmtId="0" fontId="125" fillId="0" borderId="37" xfId="0" applyFont="1" applyBorder="1" applyAlignment="1">
      <alignment horizontal="left"/>
    </xf>
    <xf numFmtId="0" fontId="125" fillId="0" borderId="140" xfId="0" applyFont="1" applyBorder="1" applyAlignment="1">
      <alignment horizontal="left"/>
    </xf>
    <xf numFmtId="0" fontId="192" fillId="0" borderId="152" xfId="0" applyFont="1" applyFill="1" applyBorder="1" applyAlignment="1">
      <alignment horizontal="left" vertical="center" wrapText="1"/>
    </xf>
    <xf numFmtId="0" fontId="192" fillId="0" borderId="86" xfId="0" applyFont="1" applyFill="1" applyBorder="1" applyAlignment="1">
      <alignment horizontal="left" vertical="center" wrapText="1"/>
    </xf>
    <xf numFmtId="0" fontId="192" fillId="0" borderId="144" xfId="0" applyFont="1" applyFill="1" applyBorder="1" applyAlignment="1">
      <alignment horizontal="left" vertical="center" wrapText="1"/>
    </xf>
    <xf numFmtId="0" fontId="213" fillId="0" borderId="130" xfId="0" applyFont="1" applyBorder="1" applyAlignment="1">
      <alignment horizontal="left" vertical="center" wrapText="1"/>
    </xf>
    <xf numFmtId="0" fontId="213" fillId="0" borderId="37" xfId="0" applyFont="1" applyBorder="1" applyAlignment="1">
      <alignment horizontal="left" vertical="center" wrapText="1"/>
    </xf>
    <xf numFmtId="0" fontId="213" fillId="0" borderId="152" xfId="0" applyFont="1" applyBorder="1" applyAlignment="1">
      <alignment horizontal="left" vertical="center" wrapText="1"/>
    </xf>
    <xf numFmtId="0" fontId="213" fillId="0" borderId="86" xfId="0" applyFont="1" applyBorder="1" applyAlignment="1">
      <alignment horizontal="left" vertical="center" wrapText="1"/>
    </xf>
    <xf numFmtId="0" fontId="213" fillId="0" borderId="144" xfId="0" applyFont="1" applyBorder="1" applyAlignment="1">
      <alignment horizontal="left" vertical="center" wrapText="1"/>
    </xf>
    <xf numFmtId="0" fontId="167" fillId="85" borderId="139" xfId="0" applyFont="1" applyFill="1" applyBorder="1" applyAlignment="1">
      <alignment horizontal="center"/>
    </xf>
    <xf numFmtId="0" fontId="167" fillId="85" borderId="143" xfId="0" applyFont="1" applyFill="1" applyBorder="1" applyAlignment="1">
      <alignment horizontal="center"/>
    </xf>
    <xf numFmtId="0" fontId="167" fillId="85" borderId="113" xfId="0" applyFont="1" applyFill="1" applyBorder="1" applyAlignment="1">
      <alignment horizontal="center"/>
    </xf>
    <xf numFmtId="0" fontId="213" fillId="0" borderId="140" xfId="0" applyFont="1" applyBorder="1" applyAlignment="1">
      <alignment horizontal="left" wrapText="1"/>
    </xf>
    <xf numFmtId="0" fontId="213" fillId="0" borderId="140" xfId="0" applyFont="1" applyBorder="1" applyAlignment="1">
      <alignment horizontal="left" vertical="center" wrapText="1"/>
    </xf>
    <xf numFmtId="0" fontId="192" fillId="0" borderId="183" xfId="0" applyFont="1" applyBorder="1" applyAlignment="1">
      <alignment horizontal="left" vertical="center" wrapText="1"/>
    </xf>
    <xf numFmtId="0" fontId="192" fillId="0" borderId="29" xfId="0" applyFont="1" applyBorder="1" applyAlignment="1">
      <alignment horizontal="left" vertical="center" wrapText="1"/>
    </xf>
    <xf numFmtId="0" fontId="192" fillId="0" borderId="106" xfId="0" applyFont="1" applyBorder="1" applyAlignment="1">
      <alignment horizontal="left" vertical="center" wrapText="1"/>
    </xf>
    <xf numFmtId="0" fontId="192" fillId="0" borderId="130" xfId="0" applyFont="1" applyFill="1" applyBorder="1" applyAlignment="1">
      <alignment horizontal="left" vertical="center" wrapText="1"/>
    </xf>
    <xf numFmtId="0" fontId="192" fillId="0" borderId="37" xfId="0" applyFont="1" applyFill="1" applyBorder="1" applyAlignment="1">
      <alignment horizontal="left" vertical="center" wrapText="1"/>
    </xf>
    <xf numFmtId="0" fontId="192" fillId="0" borderId="31" xfId="0" applyFont="1" applyFill="1" applyBorder="1" applyAlignment="1">
      <alignment horizontal="left" vertical="center" wrapText="1"/>
    </xf>
    <xf numFmtId="0" fontId="125" fillId="0" borderId="152" xfId="0" applyFont="1" applyBorder="1" applyAlignment="1">
      <alignment horizontal="left"/>
    </xf>
    <xf numFmtId="0" fontId="125" fillId="0" borderId="86" xfId="0" applyFont="1" applyBorder="1" applyAlignment="1">
      <alignment horizontal="left"/>
    </xf>
    <xf numFmtId="0" fontId="125" fillId="0" borderId="144" xfId="0" applyFont="1" applyBorder="1" applyAlignment="1">
      <alignment horizontal="left"/>
    </xf>
    <xf numFmtId="0" fontId="167" fillId="84" borderId="139" xfId="0" applyFont="1" applyFill="1" applyBorder="1" applyAlignment="1">
      <alignment horizontal="center"/>
    </xf>
    <xf numFmtId="0" fontId="167" fillId="84" borderId="143" xfId="0" applyFont="1" applyFill="1" applyBorder="1" applyAlignment="1">
      <alignment horizontal="center"/>
    </xf>
    <xf numFmtId="0" fontId="167" fillId="84" borderId="113" xfId="0" applyFont="1" applyFill="1" applyBorder="1" applyAlignment="1">
      <alignment horizontal="center"/>
    </xf>
    <xf numFmtId="0" fontId="161" fillId="0" borderId="152" xfId="0" applyFont="1" applyFill="1" applyBorder="1" applyAlignment="1">
      <alignment horizontal="left"/>
    </xf>
    <xf numFmtId="0" fontId="161" fillId="0" borderId="86" xfId="0" applyFont="1" applyFill="1" applyBorder="1" applyAlignment="1">
      <alignment horizontal="left"/>
    </xf>
    <xf numFmtId="0" fontId="161" fillId="0" borderId="144" xfId="0" applyFont="1" applyFill="1" applyBorder="1" applyAlignment="1">
      <alignment horizontal="left"/>
    </xf>
    <xf numFmtId="0" fontId="167" fillId="85" borderId="123" xfId="0" applyFont="1" applyFill="1" applyBorder="1" applyAlignment="1">
      <alignment horizontal="center"/>
    </xf>
    <xf numFmtId="0" fontId="167" fillId="85" borderId="0" xfId="0" applyFont="1" applyFill="1" applyBorder="1" applyAlignment="1">
      <alignment horizontal="center"/>
    </xf>
    <xf numFmtId="0" fontId="167" fillId="85" borderId="103" xfId="0" applyFont="1" applyFill="1" applyBorder="1" applyAlignment="1">
      <alignment horizontal="center"/>
    </xf>
    <xf numFmtId="0" fontId="192" fillId="0" borderId="6" xfId="0" applyFont="1" applyBorder="1" applyAlignment="1">
      <alignment horizontal="left" wrapText="1"/>
    </xf>
    <xf numFmtId="0" fontId="125" fillId="0" borderId="130" xfId="0" applyFont="1" applyBorder="1" applyAlignment="1">
      <alignment horizontal="left" vertical="center"/>
    </xf>
    <xf numFmtId="0" fontId="125" fillId="0" borderId="37" xfId="0" applyFont="1" applyBorder="1" applyAlignment="1">
      <alignment horizontal="left" vertical="center"/>
    </xf>
    <xf numFmtId="0" fontId="125" fillId="0" borderId="140" xfId="0" applyFont="1" applyBorder="1" applyAlignment="1">
      <alignment horizontal="left" vertical="center"/>
    </xf>
    <xf numFmtId="0" fontId="166" fillId="83" borderId="183" xfId="0" applyFont="1" applyFill="1" applyBorder="1" applyAlignment="1">
      <alignment horizontal="center" vertical="center"/>
    </xf>
    <xf numFmtId="0" fontId="166" fillId="83" borderId="29" xfId="0" applyFont="1" applyFill="1" applyBorder="1" applyAlignment="1">
      <alignment horizontal="center" vertical="center"/>
    </xf>
    <xf numFmtId="0" fontId="166" fillId="83" borderId="106" xfId="0" applyFont="1" applyFill="1" applyBorder="1" applyAlignment="1">
      <alignment horizontal="center" vertical="center"/>
    </xf>
    <xf numFmtId="0" fontId="125" fillId="0" borderId="139" xfId="0" applyFont="1" applyBorder="1" applyAlignment="1">
      <alignment horizontal="left" vertical="center" wrapText="1"/>
    </xf>
    <xf numFmtId="0" fontId="125" fillId="0" borderId="143" xfId="0" applyFont="1" applyBorder="1" applyAlignment="1">
      <alignment horizontal="left" vertical="center" wrapText="1"/>
    </xf>
    <xf numFmtId="0" fontId="125" fillId="0" borderId="113" xfId="0" applyFont="1" applyBorder="1" applyAlignment="1">
      <alignment horizontal="left" vertical="center" wrapText="1"/>
    </xf>
    <xf numFmtId="0" fontId="125" fillId="0" borderId="130" xfId="0" applyFont="1" applyBorder="1" applyAlignment="1">
      <alignment horizontal="left" vertical="center" wrapText="1"/>
    </xf>
    <xf numFmtId="0" fontId="125" fillId="0" borderId="37" xfId="0" applyFont="1" applyBorder="1" applyAlignment="1">
      <alignment horizontal="left" vertical="center" wrapText="1"/>
    </xf>
    <xf numFmtId="0" fontId="125" fillId="0" borderId="140" xfId="0" applyFont="1" applyBorder="1" applyAlignment="1">
      <alignment horizontal="left" vertical="center" wrapText="1"/>
    </xf>
    <xf numFmtId="0" fontId="125" fillId="0" borderId="152" xfId="0" applyFont="1" applyBorder="1" applyAlignment="1">
      <alignment horizontal="left" vertical="center" wrapText="1"/>
    </xf>
    <xf numFmtId="0" fontId="125" fillId="0" borderId="86" xfId="0" applyFont="1" applyBorder="1" applyAlignment="1">
      <alignment horizontal="left" vertical="center" wrapText="1"/>
    </xf>
    <xf numFmtId="0" fontId="125" fillId="0" borderId="144" xfId="0" applyFont="1" applyBorder="1" applyAlignment="1">
      <alignment horizontal="left" vertical="center" wrapText="1"/>
    </xf>
    <xf numFmtId="0" fontId="157" fillId="0" borderId="0" xfId="0" applyFont="1" applyBorder="1" applyAlignment="1">
      <alignment horizontal="left"/>
    </xf>
    <xf numFmtId="0" fontId="167" fillId="81" borderId="120" xfId="0" applyFont="1" applyFill="1" applyBorder="1" applyAlignment="1">
      <alignment horizontal="center"/>
    </xf>
    <xf numFmtId="0" fontId="167" fillId="81" borderId="121" xfId="0" applyFont="1" applyFill="1" applyBorder="1" applyAlignment="1">
      <alignment horizontal="center"/>
    </xf>
    <xf numFmtId="0" fontId="167" fillId="81" borderId="122" xfId="0" applyFont="1" applyFill="1" applyBorder="1" applyAlignment="1">
      <alignment horizontal="center"/>
    </xf>
    <xf numFmtId="0" fontId="192" fillId="0" borderId="139" xfId="0" applyFont="1" applyBorder="1" applyAlignment="1">
      <alignment horizontal="left" vertical="center" wrapText="1"/>
    </xf>
    <xf numFmtId="0" fontId="192" fillId="0" borderId="143" xfId="0" applyFont="1" applyBorder="1" applyAlignment="1">
      <alignment horizontal="left" vertical="center" wrapText="1"/>
    </xf>
    <xf numFmtId="0" fontId="192" fillId="0" borderId="113" xfId="0" applyFont="1" applyBorder="1" applyAlignment="1">
      <alignment horizontal="left" vertical="center" wrapText="1"/>
    </xf>
    <xf numFmtId="0" fontId="157" fillId="0" borderId="130" xfId="0" applyFont="1" applyBorder="1" applyAlignment="1">
      <alignment horizontal="left" vertical="center" wrapText="1"/>
    </xf>
    <xf numFmtId="0" fontId="157" fillId="0" borderId="37" xfId="0" applyFont="1" applyBorder="1" applyAlignment="1">
      <alignment horizontal="left" vertical="center" wrapText="1"/>
    </xf>
    <xf numFmtId="0" fontId="157" fillId="0" borderId="140" xfId="0" applyFont="1" applyBorder="1" applyAlignment="1">
      <alignment horizontal="left" vertical="center" wrapText="1"/>
    </xf>
    <xf numFmtId="0" fontId="157" fillId="0" borderId="0" xfId="0" applyFont="1" applyBorder="1" applyAlignment="1">
      <alignment horizontal="center"/>
    </xf>
    <xf numFmtId="0" fontId="167" fillId="82" borderId="183" xfId="0" applyFont="1" applyFill="1" applyBorder="1" applyAlignment="1">
      <alignment horizontal="center"/>
    </xf>
    <xf numFmtId="0" fontId="167" fillId="82" borderId="29" xfId="0" applyFont="1" applyFill="1" applyBorder="1" applyAlignment="1">
      <alignment horizontal="center"/>
    </xf>
    <xf numFmtId="0" fontId="167" fillId="82" borderId="106" xfId="0" applyFont="1" applyFill="1" applyBorder="1" applyAlignment="1">
      <alignment horizontal="center"/>
    </xf>
    <xf numFmtId="0" fontId="161" fillId="0" borderId="130" xfId="0" applyFont="1" applyFill="1" applyBorder="1" applyAlignment="1">
      <alignment horizontal="left"/>
    </xf>
    <xf numFmtId="0" fontId="161" fillId="0" borderId="37" xfId="0" applyFont="1" applyFill="1" applyBorder="1" applyAlignment="1">
      <alignment horizontal="left"/>
    </xf>
    <xf numFmtId="0" fontId="161" fillId="0" borderId="140" xfId="0" applyFont="1" applyFill="1" applyBorder="1" applyAlignment="1">
      <alignment horizontal="left"/>
    </xf>
    <xf numFmtId="0" fontId="167" fillId="81" borderId="130" xfId="0" applyFont="1" applyFill="1" applyBorder="1" applyAlignment="1">
      <alignment horizontal="center"/>
    </xf>
    <xf numFmtId="0" fontId="167" fillId="81" borderId="37" xfId="0" applyFont="1" applyFill="1" applyBorder="1" applyAlignment="1">
      <alignment horizontal="center"/>
    </xf>
    <xf numFmtId="0" fontId="167" fillId="81" borderId="140" xfId="0" applyFont="1" applyFill="1" applyBorder="1" applyAlignment="1">
      <alignment horizontal="center"/>
    </xf>
    <xf numFmtId="0" fontId="165" fillId="0" borderId="153" xfId="0" applyFont="1" applyBorder="1" applyAlignment="1">
      <alignment horizontal="center"/>
    </xf>
    <xf numFmtId="0" fontId="165" fillId="0" borderId="25" xfId="0" applyFont="1" applyBorder="1" applyAlignment="1">
      <alignment horizontal="center"/>
    </xf>
    <xf numFmtId="0" fontId="165" fillId="0" borderId="149" xfId="0" applyFont="1" applyBorder="1" applyAlignment="1">
      <alignment horizontal="center"/>
    </xf>
    <xf numFmtId="0" fontId="166" fillId="83" borderId="139" xfId="0" applyFont="1" applyFill="1" applyBorder="1" applyAlignment="1">
      <alignment horizontal="center" vertical="center"/>
    </xf>
    <xf numFmtId="0" fontId="166" fillId="83" borderId="143" xfId="0" applyFont="1" applyFill="1" applyBorder="1" applyAlignment="1">
      <alignment horizontal="center" vertical="center"/>
    </xf>
    <xf numFmtId="0" fontId="166" fillId="83" borderId="113" xfId="0" applyFont="1" applyFill="1" applyBorder="1" applyAlignment="1">
      <alignment horizontal="center" vertical="center"/>
    </xf>
    <xf numFmtId="0" fontId="167" fillId="80" borderId="191" xfId="0" applyFont="1" applyFill="1" applyBorder="1" applyAlignment="1">
      <alignment horizontal="center"/>
    </xf>
    <xf numFmtId="0" fontId="167" fillId="80" borderId="8" xfId="0" applyFont="1" applyFill="1" applyBorder="1" applyAlignment="1">
      <alignment horizontal="center"/>
    </xf>
    <xf numFmtId="0" fontId="167" fillId="80" borderId="196" xfId="0" applyFont="1" applyFill="1" applyBorder="1" applyAlignment="1">
      <alignment horizontal="center"/>
    </xf>
    <xf numFmtId="0" fontId="191" fillId="0" borderId="120" xfId="0" applyFont="1" applyBorder="1" applyAlignment="1">
      <alignment horizontal="left" vertical="center" wrapText="1"/>
    </xf>
    <xf numFmtId="0" fontId="191" fillId="0" borderId="121" xfId="0" applyFont="1" applyBorder="1" applyAlignment="1">
      <alignment horizontal="left" vertical="center" wrapText="1"/>
    </xf>
    <xf numFmtId="0" fontId="191" fillId="0" borderId="122" xfId="0" applyFont="1" applyBorder="1" applyAlignment="1">
      <alignment horizontal="left" vertical="center" wrapText="1"/>
    </xf>
    <xf numFmtId="0" fontId="191" fillId="0" borderId="23" xfId="0" applyFont="1" applyBorder="1" applyAlignment="1">
      <alignment horizontal="left" vertical="center" wrapText="1"/>
    </xf>
    <xf numFmtId="0" fontId="191" fillId="0" borderId="6" xfId="0" applyFont="1" applyBorder="1" applyAlignment="1">
      <alignment horizontal="left" vertical="center" wrapText="1"/>
    </xf>
    <xf numFmtId="0" fontId="191" fillId="0" borderId="22" xfId="0" applyFont="1" applyBorder="1" applyAlignment="1">
      <alignment horizontal="left" vertical="center" wrapText="1"/>
    </xf>
    <xf numFmtId="0" fontId="192" fillId="0" borderId="23" xfId="0" applyFont="1" applyBorder="1" applyAlignment="1">
      <alignment horizontal="left" vertical="center" wrapText="1"/>
    </xf>
    <xf numFmtId="0" fontId="192" fillId="0" borderId="6" xfId="0" applyFont="1" applyBorder="1" applyAlignment="1">
      <alignment horizontal="left" vertical="center" wrapText="1"/>
    </xf>
    <xf numFmtId="0" fontId="192" fillId="0" borderId="22" xfId="0" applyFont="1" applyBorder="1" applyAlignment="1">
      <alignment horizontal="left" vertical="center" wrapText="1"/>
    </xf>
    <xf numFmtId="0" fontId="157" fillId="0" borderId="183" xfId="0" applyFont="1" applyBorder="1" applyAlignment="1">
      <alignment horizontal="center"/>
    </xf>
    <xf numFmtId="0" fontId="157" fillId="0" borderId="29" xfId="0" applyFont="1" applyBorder="1" applyAlignment="1">
      <alignment horizontal="center"/>
    </xf>
    <xf numFmtId="0" fontId="157" fillId="0" borderId="106" xfId="0" applyFont="1" applyBorder="1" applyAlignment="1">
      <alignment horizontal="center"/>
    </xf>
    <xf numFmtId="0" fontId="169" fillId="0" borderId="130" xfId="0" applyFont="1" applyBorder="1" applyAlignment="1">
      <alignment horizontal="left" vertical="top" wrapText="1"/>
    </xf>
    <xf numFmtId="0" fontId="169" fillId="0" borderId="37" xfId="0" applyFont="1" applyBorder="1" applyAlignment="1">
      <alignment horizontal="left" vertical="top" wrapText="1"/>
    </xf>
    <xf numFmtId="0" fontId="169" fillId="0" borderId="140" xfId="0" applyFont="1" applyBorder="1" applyAlignment="1">
      <alignment horizontal="left" vertical="top" wrapText="1"/>
    </xf>
    <xf numFmtId="0" fontId="186" fillId="86" borderId="130" xfId="0" applyFont="1" applyFill="1" applyBorder="1" applyAlignment="1">
      <alignment horizontal="center"/>
    </xf>
    <xf numFmtId="0" fontId="186" fillId="86" borderId="37" xfId="0" applyFont="1" applyFill="1" applyBorder="1" applyAlignment="1">
      <alignment horizontal="center"/>
    </xf>
    <xf numFmtId="0" fontId="186" fillId="86" borderId="140" xfId="0" applyFont="1" applyFill="1" applyBorder="1" applyAlignment="1">
      <alignment horizontal="center"/>
    </xf>
    <xf numFmtId="0" fontId="167" fillId="84" borderId="130" xfId="0" applyFont="1" applyFill="1" applyBorder="1" applyAlignment="1">
      <alignment horizontal="center"/>
    </xf>
    <xf numFmtId="0" fontId="167" fillId="84" borderId="37" xfId="0" applyFont="1" applyFill="1" applyBorder="1" applyAlignment="1">
      <alignment horizontal="center"/>
    </xf>
    <xf numFmtId="0" fontId="167" fillId="84" borderId="140" xfId="0" applyFont="1" applyFill="1" applyBorder="1" applyAlignment="1">
      <alignment horizontal="center"/>
    </xf>
    <xf numFmtId="0" fontId="157" fillId="0" borderId="130" xfId="0" applyFont="1" applyBorder="1" applyAlignment="1">
      <alignment horizontal="left"/>
    </xf>
    <xf numFmtId="0" fontId="157" fillId="0" borderId="37" xfId="0" applyFont="1" applyBorder="1" applyAlignment="1">
      <alignment horizontal="left"/>
    </xf>
    <xf numFmtId="0" fontId="157" fillId="0" borderId="140" xfId="0" applyFont="1" applyBorder="1" applyAlignment="1">
      <alignment horizontal="left"/>
    </xf>
    <xf numFmtId="0" fontId="167" fillId="85" borderId="130" xfId="0" applyFont="1" applyFill="1" applyBorder="1" applyAlignment="1">
      <alignment horizontal="center"/>
    </xf>
    <xf numFmtId="0" fontId="167" fillId="85" borderId="37" xfId="0" applyFont="1" applyFill="1" applyBorder="1" applyAlignment="1">
      <alignment horizontal="center"/>
    </xf>
    <xf numFmtId="0" fontId="167" fillId="85" borderId="140" xfId="0" applyFont="1" applyFill="1" applyBorder="1" applyAlignment="1">
      <alignment horizontal="center"/>
    </xf>
    <xf numFmtId="0" fontId="167" fillId="82" borderId="130" xfId="0" applyFont="1" applyFill="1" applyBorder="1" applyAlignment="1">
      <alignment horizontal="center"/>
    </xf>
    <xf numFmtId="0" fontId="167" fillId="82" borderId="37" xfId="0" applyFont="1" applyFill="1" applyBorder="1" applyAlignment="1">
      <alignment horizontal="center"/>
    </xf>
    <xf numFmtId="0" fontId="167" fillId="82" borderId="140" xfId="0" applyFont="1" applyFill="1" applyBorder="1" applyAlignment="1">
      <alignment horizontal="center"/>
    </xf>
    <xf numFmtId="0" fontId="159" fillId="78" borderId="23" xfId="0" applyFont="1" applyFill="1" applyBorder="1" applyAlignment="1">
      <alignment horizontal="left" vertical="center" wrapText="1"/>
    </xf>
    <xf numFmtId="0" fontId="159" fillId="78" borderId="6" xfId="0" applyFont="1" applyFill="1" applyBorder="1" applyAlignment="1">
      <alignment horizontal="left" vertical="center" wrapText="1"/>
    </xf>
    <xf numFmtId="0" fontId="157" fillId="0" borderId="6" xfId="0" applyFont="1" applyBorder="1" applyAlignment="1">
      <alignment horizontal="left" vertical="center" wrapText="1"/>
    </xf>
    <xf numFmtId="0" fontId="157" fillId="0" borderId="35" xfId="0" applyFont="1" applyBorder="1" applyAlignment="1">
      <alignment horizontal="left" vertical="center" wrapText="1"/>
    </xf>
    <xf numFmtId="0" fontId="157" fillId="0" borderId="22" xfId="0" applyFont="1" applyBorder="1" applyAlignment="1">
      <alignment horizontal="left" vertical="center" wrapText="1"/>
    </xf>
    <xf numFmtId="0" fontId="163" fillId="0" borderId="6" xfId="2" applyFont="1" applyFill="1" applyBorder="1" applyAlignment="1">
      <alignment horizontal="left" vertical="center" wrapText="1"/>
    </xf>
    <xf numFmtId="0" fontId="163" fillId="0" borderId="35" xfId="2" applyFont="1" applyFill="1" applyBorder="1" applyAlignment="1">
      <alignment horizontal="left" vertical="center" wrapText="1"/>
    </xf>
    <xf numFmtId="0" fontId="163" fillId="0" borderId="22" xfId="2" applyFont="1" applyFill="1" applyBorder="1" applyAlignment="1">
      <alignment horizontal="left" vertical="center" wrapText="1"/>
    </xf>
    <xf numFmtId="0" fontId="157" fillId="0" borderId="130" xfId="0" applyFont="1" applyBorder="1" applyAlignment="1">
      <alignment horizontal="left" vertical="top" wrapText="1"/>
    </xf>
    <xf numFmtId="0" fontId="157" fillId="0" borderId="37" xfId="0" applyFont="1" applyBorder="1" applyAlignment="1">
      <alignment horizontal="left" vertical="top" wrapText="1"/>
    </xf>
    <xf numFmtId="0" fontId="157" fillId="0" borderId="140" xfId="0" applyFont="1" applyBorder="1" applyAlignment="1">
      <alignment horizontal="left" vertical="top" wrapText="1"/>
    </xf>
    <xf numFmtId="0" fontId="161" fillId="0" borderId="6" xfId="0" applyFont="1" applyFill="1" applyBorder="1" applyAlignment="1">
      <alignment horizontal="left" vertical="center" wrapText="1"/>
    </xf>
    <xf numFmtId="0" fontId="161" fillId="0" borderId="35" xfId="0" applyFont="1" applyFill="1" applyBorder="1" applyAlignment="1">
      <alignment horizontal="left" vertical="center" wrapText="1"/>
    </xf>
    <xf numFmtId="0" fontId="161" fillId="0" borderId="22" xfId="0" applyFont="1" applyFill="1" applyBorder="1" applyAlignment="1">
      <alignment horizontal="left" vertical="center" wrapText="1"/>
    </xf>
    <xf numFmtId="0" fontId="159" fillId="78" borderId="130" xfId="0" applyFont="1" applyFill="1" applyBorder="1" applyAlignment="1">
      <alignment horizontal="left" vertical="center" wrapText="1"/>
    </xf>
    <xf numFmtId="0" fontId="159" fillId="78" borderId="31" xfId="0" applyFont="1" applyFill="1" applyBorder="1" applyAlignment="1">
      <alignment horizontal="left" vertical="center" wrapText="1"/>
    </xf>
    <xf numFmtId="0" fontId="161" fillId="5" borderId="35" xfId="0" applyFont="1" applyFill="1" applyBorder="1" applyAlignment="1">
      <alignment horizontal="left" vertical="center" wrapText="1"/>
    </xf>
    <xf numFmtId="0" fontId="161" fillId="5" borderId="37" xfId="0" applyFont="1" applyFill="1" applyBorder="1" applyAlignment="1">
      <alignment horizontal="left" vertical="center" wrapText="1"/>
    </xf>
    <xf numFmtId="0" fontId="161" fillId="5" borderId="140" xfId="0" applyFont="1" applyFill="1" applyBorder="1" applyAlignment="1">
      <alignment horizontal="left" vertical="center" wrapText="1"/>
    </xf>
    <xf numFmtId="0" fontId="159" fillId="78" borderId="17" xfId="0" applyFont="1" applyFill="1" applyBorder="1" applyAlignment="1">
      <alignment horizontal="left" vertical="center" wrapText="1"/>
    </xf>
    <xf numFmtId="0" fontId="159" fillId="78" borderId="21" xfId="0" applyFont="1" applyFill="1" applyBorder="1" applyAlignment="1">
      <alignment horizontal="left" vertical="center" wrapText="1"/>
    </xf>
    <xf numFmtId="0" fontId="157" fillId="0" borderId="21" xfId="0" applyFont="1" applyBorder="1" applyAlignment="1">
      <alignment horizontal="left" vertical="center" wrapText="1"/>
    </xf>
    <xf numFmtId="0" fontId="157" fillId="0" borderId="87" xfId="0" applyFont="1" applyBorder="1" applyAlignment="1">
      <alignment horizontal="left" vertical="center" wrapText="1"/>
    </xf>
    <xf numFmtId="0" fontId="157" fillId="0" borderId="15" xfId="0" applyFont="1" applyBorder="1" applyAlignment="1">
      <alignment horizontal="left" vertical="center" wrapText="1"/>
    </xf>
    <xf numFmtId="0" fontId="167" fillId="80" borderId="130" xfId="0" applyFont="1" applyFill="1" applyBorder="1" applyAlignment="1">
      <alignment horizontal="center"/>
    </xf>
    <xf numFmtId="0" fontId="167" fillId="80" borderId="37" xfId="0" applyFont="1" applyFill="1" applyBorder="1" applyAlignment="1">
      <alignment horizontal="center"/>
    </xf>
    <xf numFmtId="0" fontId="167" fillId="80" borderId="140" xfId="0" applyFont="1" applyFill="1" applyBorder="1" applyAlignment="1">
      <alignment horizontal="center"/>
    </xf>
    <xf numFmtId="0" fontId="128" fillId="10" borderId="20" xfId="14" applyFont="1" applyFill="1" applyBorder="1" applyAlignment="1">
      <alignment horizontal="center" vertical="center"/>
    </xf>
    <xf numFmtId="0" fontId="128" fillId="10" borderId="49" xfId="14" applyFont="1" applyFill="1" applyBorder="1" applyAlignment="1">
      <alignment horizontal="center" vertical="center"/>
    </xf>
    <xf numFmtId="0" fontId="128" fillId="10" borderId="154" xfId="14" applyFont="1" applyFill="1" applyBorder="1" applyAlignment="1">
      <alignment horizontal="center" vertical="center"/>
    </xf>
    <xf numFmtId="0" fontId="128" fillId="10" borderId="18" xfId="14" applyFont="1" applyFill="1" applyBorder="1" applyAlignment="1">
      <alignment horizontal="center" vertical="center"/>
    </xf>
    <xf numFmtId="0" fontId="161" fillId="0" borderId="6" xfId="0" applyFont="1" applyBorder="1" applyAlignment="1">
      <alignment horizontal="left" vertical="center" wrapText="1"/>
    </xf>
    <xf numFmtId="0" fontId="161" fillId="0" borderId="35" xfId="0" applyFont="1" applyBorder="1" applyAlignment="1">
      <alignment horizontal="left" vertical="center" wrapText="1"/>
    </xf>
    <xf numFmtId="0" fontId="161" fillId="0" borderId="22" xfId="0" applyFont="1" applyBorder="1" applyAlignment="1">
      <alignment horizontal="left" vertical="center" wrapText="1"/>
    </xf>
    <xf numFmtId="0" fontId="160" fillId="0" borderId="35" xfId="0" applyFont="1" applyFill="1" applyBorder="1" applyAlignment="1">
      <alignment horizontal="left" vertical="center" wrapText="1"/>
    </xf>
    <xf numFmtId="0" fontId="160" fillId="0" borderId="37" xfId="0" applyFont="1" applyFill="1" applyBorder="1" applyAlignment="1">
      <alignment horizontal="left" vertical="center" wrapText="1"/>
    </xf>
    <xf numFmtId="0" fontId="160" fillId="0" borderId="31" xfId="0" applyFont="1" applyFill="1" applyBorder="1" applyAlignment="1">
      <alignment horizontal="left" vertical="center" wrapText="1"/>
    </xf>
    <xf numFmtId="0" fontId="157" fillId="0" borderId="130" xfId="0" applyFont="1" applyBorder="1" applyAlignment="1">
      <alignment horizontal="center"/>
    </xf>
    <xf numFmtId="0" fontId="157" fillId="0" borderId="37" xfId="0" applyFont="1" applyBorder="1" applyAlignment="1">
      <alignment horizontal="center"/>
    </xf>
    <xf numFmtId="0" fontId="157" fillId="0" borderId="140" xfId="0" applyFont="1" applyBorder="1" applyAlignment="1">
      <alignment horizontal="center"/>
    </xf>
    <xf numFmtId="0" fontId="157" fillId="0" borderId="23" xfId="0" applyFont="1" applyBorder="1" applyAlignment="1">
      <alignment horizontal="justify" vertical="center" wrapText="1"/>
    </xf>
    <xf numFmtId="0" fontId="157" fillId="0" borderId="6" xfId="0" applyFont="1" applyBorder="1" applyAlignment="1">
      <alignment horizontal="justify" vertical="center" wrapText="1"/>
    </xf>
    <xf numFmtId="0" fontId="157" fillId="0" borderId="22" xfId="0" applyFont="1" applyBorder="1" applyAlignment="1">
      <alignment horizontal="justify" vertical="center" wrapText="1"/>
    </xf>
    <xf numFmtId="0" fontId="157" fillId="0" borderId="191" xfId="0" applyFont="1" applyBorder="1" applyAlignment="1">
      <alignment horizontal="left" vertical="top" wrapText="1"/>
    </xf>
    <xf numFmtId="0" fontId="157" fillId="0" borderId="8" xfId="0" applyFont="1" applyBorder="1" applyAlignment="1">
      <alignment horizontal="left" vertical="top" wrapText="1"/>
    </xf>
    <xf numFmtId="0" fontId="157" fillId="0" borderId="196" xfId="0" applyFont="1" applyBorder="1" applyAlignment="1">
      <alignment horizontal="left" vertical="top" wrapText="1"/>
    </xf>
    <xf numFmtId="0" fontId="167" fillId="86" borderId="139" xfId="0" applyFont="1" applyFill="1" applyBorder="1" applyAlignment="1">
      <alignment horizontal="center"/>
    </xf>
    <xf numFmtId="0" fontId="167" fillId="86" borderId="143" xfId="0" applyFont="1" applyFill="1" applyBorder="1" applyAlignment="1">
      <alignment horizontal="center"/>
    </xf>
    <xf numFmtId="0" fontId="167" fillId="86" borderId="113" xfId="0" applyFont="1" applyFill="1" applyBorder="1" applyAlignment="1">
      <alignment horizontal="center"/>
    </xf>
    <xf numFmtId="0" fontId="157" fillId="0" borderId="152" xfId="0" applyFont="1" applyBorder="1" applyAlignment="1">
      <alignment horizontal="left" vertical="top" wrapText="1"/>
    </xf>
    <xf numFmtId="0" fontId="157" fillId="0" borderId="86" xfId="0" applyFont="1" applyBorder="1" applyAlignment="1">
      <alignment horizontal="left" vertical="top" wrapText="1"/>
    </xf>
    <xf numFmtId="0" fontId="157" fillId="0" borderId="144" xfId="0" applyFont="1" applyBorder="1" applyAlignment="1">
      <alignment horizontal="left" vertical="top" wrapText="1"/>
    </xf>
    <xf numFmtId="0" fontId="157" fillId="0" borderId="17" xfId="0" applyFont="1" applyBorder="1" applyAlignment="1">
      <alignment horizontal="justify" vertical="center" wrapText="1"/>
    </xf>
    <xf numFmtId="0" fontId="157" fillId="0" borderId="21" xfId="0" applyFont="1" applyBorder="1" applyAlignment="1">
      <alignment horizontal="justify" vertical="center" wrapText="1"/>
    </xf>
    <xf numFmtId="0" fontId="157" fillId="0" borderId="15" xfId="0" applyFont="1" applyBorder="1" applyAlignment="1">
      <alignment horizontal="justify" vertical="center" wrapText="1"/>
    </xf>
    <xf numFmtId="0" fontId="157" fillId="0" borderId="123" xfId="0" applyFont="1" applyBorder="1" applyAlignment="1">
      <alignment horizontal="center"/>
    </xf>
    <xf numFmtId="0" fontId="157" fillId="0" borderId="103" xfId="0" applyFont="1" applyBorder="1" applyAlignment="1">
      <alignment horizontal="center"/>
    </xf>
    <xf numFmtId="0" fontId="167" fillId="88" borderId="139" xfId="0" applyFont="1" applyFill="1" applyBorder="1" applyAlignment="1">
      <alignment horizontal="center"/>
    </xf>
    <xf numFmtId="0" fontId="167" fillId="88" borderId="143" xfId="0" applyFont="1" applyFill="1" applyBorder="1" applyAlignment="1">
      <alignment horizontal="center"/>
    </xf>
    <xf numFmtId="0" fontId="167" fillId="88" borderId="113" xfId="0" applyFont="1" applyFill="1" applyBorder="1" applyAlignment="1">
      <alignment horizontal="center"/>
    </xf>
    <xf numFmtId="0" fontId="167" fillId="89" borderId="130" xfId="0" applyFont="1" applyFill="1" applyBorder="1" applyAlignment="1">
      <alignment horizontal="center" vertical="top" wrapText="1"/>
    </xf>
    <xf numFmtId="0" fontId="157" fillId="89" borderId="37" xfId="0" applyFont="1" applyFill="1" applyBorder="1" applyAlignment="1">
      <alignment horizontal="center" vertical="top" wrapText="1"/>
    </xf>
    <xf numFmtId="0" fontId="157" fillId="89" borderId="140" xfId="0" applyFont="1" applyFill="1" applyBorder="1" applyAlignment="1">
      <alignment horizontal="center" vertical="top" wrapText="1"/>
    </xf>
    <xf numFmtId="0" fontId="167" fillId="91" borderId="130" xfId="0" applyFont="1" applyFill="1" applyBorder="1" applyAlignment="1">
      <alignment horizontal="center" vertical="top" wrapText="1"/>
    </xf>
    <xf numFmtId="0" fontId="157" fillId="91" borderId="37" xfId="0" applyFont="1" applyFill="1" applyBorder="1" applyAlignment="1">
      <alignment horizontal="center" vertical="top" wrapText="1"/>
    </xf>
    <xf numFmtId="0" fontId="157" fillId="91" borderId="140" xfId="0" applyFont="1" applyFill="1" applyBorder="1" applyAlignment="1">
      <alignment horizontal="center" vertical="top" wrapText="1"/>
    </xf>
    <xf numFmtId="0" fontId="167" fillId="90" borderId="120" xfId="0" applyFont="1" applyFill="1" applyBorder="1" applyAlignment="1">
      <alignment horizontal="center"/>
    </xf>
    <xf numFmtId="0" fontId="0" fillId="90" borderId="121" xfId="0" applyFill="1" applyBorder="1" applyAlignment="1">
      <alignment horizontal="center"/>
    </xf>
    <xf numFmtId="0" fontId="0" fillId="90" borderId="122" xfId="0" applyFill="1" applyBorder="1" applyAlignment="1">
      <alignment horizontal="center"/>
    </xf>
    <xf numFmtId="0" fontId="0" fillId="90" borderId="183" xfId="0" applyFill="1" applyBorder="1" applyAlignment="1">
      <alignment horizontal="center"/>
    </xf>
    <xf numFmtId="0" fontId="0" fillId="90" borderId="29" xfId="0" applyFill="1" applyBorder="1" applyAlignment="1">
      <alignment horizontal="center"/>
    </xf>
    <xf numFmtId="0" fontId="0" fillId="90" borderId="106" xfId="0" applyFill="1" applyBorder="1" applyAlignment="1">
      <alignment horizontal="center"/>
    </xf>
    <xf numFmtId="0" fontId="167" fillId="86" borderId="130" xfId="0" applyFont="1" applyFill="1" applyBorder="1" applyAlignment="1">
      <alignment horizontal="center"/>
    </xf>
    <xf numFmtId="0" fontId="167" fillId="86" borderId="37" xfId="0" applyFont="1" applyFill="1" applyBorder="1" applyAlignment="1">
      <alignment horizontal="center"/>
    </xf>
    <xf numFmtId="0" fontId="167" fillId="86" borderId="140" xfId="0" applyFont="1" applyFill="1" applyBorder="1" applyAlignment="1">
      <alignment horizontal="center"/>
    </xf>
    <xf numFmtId="0" fontId="157" fillId="0" borderId="130" xfId="0" applyFont="1" applyFill="1" applyBorder="1" applyAlignment="1">
      <alignment horizontal="left" vertical="top" wrapText="1"/>
    </xf>
    <xf numFmtId="0" fontId="157" fillId="0" borderId="37" xfId="0" applyFont="1" applyFill="1" applyBorder="1" applyAlignment="1">
      <alignment horizontal="left" vertical="top" wrapText="1"/>
    </xf>
    <xf numFmtId="0" fontId="157" fillId="0" borderId="140" xfId="0" applyFont="1" applyFill="1" applyBorder="1" applyAlignment="1">
      <alignment horizontal="left" vertical="top" wrapText="1"/>
    </xf>
    <xf numFmtId="0" fontId="167" fillId="85" borderId="120" xfId="0" applyFont="1" applyFill="1" applyBorder="1" applyAlignment="1">
      <alignment horizontal="center"/>
    </xf>
    <xf numFmtId="0" fontId="167" fillId="85" borderId="121" xfId="0" applyFont="1" applyFill="1" applyBorder="1" applyAlignment="1">
      <alignment horizontal="center"/>
    </xf>
    <xf numFmtId="0" fontId="167" fillId="85" borderId="122" xfId="0" applyFont="1" applyFill="1" applyBorder="1" applyAlignment="1">
      <alignment horizontal="center"/>
    </xf>
    <xf numFmtId="0" fontId="167" fillId="85" borderId="183" xfId="0" applyFont="1" applyFill="1" applyBorder="1" applyAlignment="1">
      <alignment horizontal="center"/>
    </xf>
    <xf numFmtId="0" fontId="167" fillId="85" borderId="29" xfId="0" applyFont="1" applyFill="1" applyBorder="1" applyAlignment="1">
      <alignment horizontal="center"/>
    </xf>
    <xf numFmtId="0" fontId="167" fillId="85" borderId="106" xfId="0" applyFont="1" applyFill="1" applyBorder="1" applyAlignment="1">
      <alignment horizontal="center"/>
    </xf>
    <xf numFmtId="0" fontId="157" fillId="0" borderId="191" xfId="0" applyFont="1" applyBorder="1" applyAlignment="1">
      <alignment horizontal="left" vertical="center" wrapText="1"/>
    </xf>
    <xf numFmtId="0" fontId="157" fillId="0" borderId="8" xfId="0" applyFont="1" applyBorder="1" applyAlignment="1">
      <alignment horizontal="left" vertical="center" wrapText="1"/>
    </xf>
    <xf numFmtId="0" fontId="157" fillId="0" borderId="196" xfId="0" applyFont="1" applyBorder="1" applyAlignment="1">
      <alignment horizontal="left" vertical="center" wrapText="1"/>
    </xf>
    <xf numFmtId="0" fontId="157" fillId="0" borderId="152" xfId="0" applyFont="1" applyBorder="1" applyAlignment="1">
      <alignment horizontal="left" vertical="center" wrapText="1"/>
    </xf>
    <xf numFmtId="0" fontId="157" fillId="0" borderId="86" xfId="0" applyFont="1" applyBorder="1" applyAlignment="1">
      <alignment horizontal="left" vertical="center" wrapText="1"/>
    </xf>
    <xf numFmtId="0" fontId="157" fillId="0" borderId="144" xfId="0" applyFont="1" applyBorder="1" applyAlignment="1">
      <alignment horizontal="left" vertical="center" wrapText="1"/>
    </xf>
    <xf numFmtId="0" fontId="167" fillId="87" borderId="120" xfId="0" applyFont="1" applyFill="1" applyBorder="1" applyAlignment="1">
      <alignment horizontal="center"/>
    </xf>
    <xf numFmtId="0" fontId="167" fillId="87" borderId="121" xfId="0" applyFont="1" applyFill="1" applyBorder="1" applyAlignment="1">
      <alignment horizontal="center"/>
    </xf>
    <xf numFmtId="0" fontId="167" fillId="87" borderId="122" xfId="0" applyFont="1" applyFill="1" applyBorder="1" applyAlignment="1">
      <alignment horizontal="center"/>
    </xf>
    <xf numFmtId="0" fontId="167" fillId="87" borderId="183" xfId="0" applyFont="1" applyFill="1" applyBorder="1" applyAlignment="1">
      <alignment horizontal="center"/>
    </xf>
    <xf numFmtId="0" fontId="167" fillId="87" borderId="29" xfId="0" applyFont="1" applyFill="1" applyBorder="1" applyAlignment="1">
      <alignment horizontal="center"/>
    </xf>
    <xf numFmtId="0" fontId="167" fillId="87" borderId="106" xfId="0" applyFont="1" applyFill="1" applyBorder="1" applyAlignment="1">
      <alignment horizontal="center"/>
    </xf>
    <xf numFmtId="0" fontId="186" fillId="80" borderId="130" xfId="0" applyFont="1" applyFill="1" applyBorder="1" applyAlignment="1">
      <alignment horizontal="center"/>
    </xf>
    <xf numFmtId="0" fontId="186" fillId="80" borderId="37" xfId="0" applyFont="1" applyFill="1" applyBorder="1" applyAlignment="1">
      <alignment horizontal="center"/>
    </xf>
    <xf numFmtId="0" fontId="186" fillId="80" borderId="140" xfId="0" applyFont="1" applyFill="1" applyBorder="1" applyAlignment="1">
      <alignment horizontal="center"/>
    </xf>
    <xf numFmtId="0" fontId="169" fillId="0" borderId="130" xfId="0" applyFont="1" applyBorder="1" applyAlignment="1">
      <alignment horizontal="left"/>
    </xf>
    <xf numFmtId="0" fontId="169" fillId="0" borderId="37" xfId="0" applyFont="1" applyBorder="1" applyAlignment="1">
      <alignment horizontal="left"/>
    </xf>
    <xf numFmtId="0" fontId="169" fillId="0" borderId="140" xfId="0" applyFont="1" applyBorder="1" applyAlignment="1">
      <alignment horizontal="left"/>
    </xf>
    <xf numFmtId="0" fontId="169" fillId="0" borderId="130" xfId="0" applyFont="1" applyBorder="1" applyAlignment="1">
      <alignment horizontal="left" vertical="center" wrapText="1"/>
    </xf>
    <xf numFmtId="0" fontId="169" fillId="0" borderId="37" xfId="0" applyFont="1" applyBorder="1" applyAlignment="1">
      <alignment horizontal="left" vertical="center" wrapText="1"/>
    </xf>
    <xf numFmtId="0" fontId="169" fillId="0" borderId="140" xfId="0" applyFont="1" applyBorder="1" applyAlignment="1">
      <alignment horizontal="left" vertical="center" wrapText="1"/>
    </xf>
    <xf numFmtId="0" fontId="169" fillId="0" borderId="130" xfId="0" applyFont="1" applyBorder="1" applyAlignment="1">
      <alignment horizontal="left" vertical="center"/>
    </xf>
    <xf numFmtId="0" fontId="169" fillId="0" borderId="37" xfId="0" applyFont="1" applyBorder="1" applyAlignment="1">
      <alignment horizontal="left" vertical="center"/>
    </xf>
    <xf numFmtId="0" fontId="169" fillId="0" borderId="140" xfId="0" applyFont="1" applyBorder="1" applyAlignment="1">
      <alignment horizontal="left" vertical="center"/>
    </xf>
    <xf numFmtId="0" fontId="169" fillId="0" borderId="152" xfId="0" applyFont="1" applyBorder="1" applyAlignment="1">
      <alignment horizontal="left"/>
    </xf>
    <xf numFmtId="0" fontId="169" fillId="0" borderId="86" xfId="0" applyFont="1" applyBorder="1" applyAlignment="1">
      <alignment horizontal="left"/>
    </xf>
    <xf numFmtId="0" fontId="169" fillId="0" borderId="144" xfId="0" applyFont="1" applyBorder="1" applyAlignment="1">
      <alignment horizontal="left"/>
    </xf>
    <xf numFmtId="0" fontId="186" fillId="81" borderId="130" xfId="0" applyFont="1" applyFill="1" applyBorder="1" applyAlignment="1">
      <alignment horizontal="center"/>
    </xf>
    <xf numFmtId="0" fontId="186" fillId="81" borderId="37" xfId="0" applyFont="1" applyFill="1" applyBorder="1" applyAlignment="1">
      <alignment horizontal="center"/>
    </xf>
    <xf numFmtId="0" fontId="186" fillId="81" borderId="140" xfId="0" applyFont="1" applyFill="1" applyBorder="1" applyAlignment="1">
      <alignment horizontal="center"/>
    </xf>
    <xf numFmtId="0" fontId="169" fillId="0" borderId="130" xfId="0" applyFont="1" applyBorder="1" applyAlignment="1">
      <alignment horizontal="center"/>
    </xf>
    <xf numFmtId="0" fontId="169" fillId="0" borderId="37" xfId="0" applyFont="1" applyBorder="1" applyAlignment="1">
      <alignment horizontal="center"/>
    </xf>
    <xf numFmtId="0" fontId="169" fillId="0" borderId="140" xfId="0" applyFont="1" applyBorder="1" applyAlignment="1">
      <alignment horizontal="center"/>
    </xf>
    <xf numFmtId="0" fontId="186" fillId="82" borderId="130" xfId="0" applyFont="1" applyFill="1" applyBorder="1" applyAlignment="1">
      <alignment horizontal="center"/>
    </xf>
    <xf numFmtId="0" fontId="186" fillId="82" borderId="37" xfId="0" applyFont="1" applyFill="1" applyBorder="1" applyAlignment="1">
      <alignment horizontal="center"/>
    </xf>
    <xf numFmtId="0" fontId="186" fillId="82" borderId="140" xfId="0" applyFont="1" applyFill="1" applyBorder="1" applyAlignment="1">
      <alignment horizontal="center"/>
    </xf>
    <xf numFmtId="0" fontId="186" fillId="84" borderId="152" xfId="0" applyFont="1" applyFill="1" applyBorder="1" applyAlignment="1">
      <alignment horizontal="center"/>
    </xf>
    <xf numFmtId="0" fontId="186" fillId="84" borderId="86" xfId="0" applyFont="1" applyFill="1" applyBorder="1" applyAlignment="1">
      <alignment horizontal="center"/>
    </xf>
    <xf numFmtId="0" fontId="186" fillId="84" borderId="144" xfId="0" applyFont="1" applyFill="1" applyBorder="1" applyAlignment="1">
      <alignment horizontal="center"/>
    </xf>
    <xf numFmtId="0" fontId="187" fillId="0" borderId="130" xfId="0" applyFont="1" applyFill="1" applyBorder="1" applyAlignment="1"/>
    <xf numFmtId="0" fontId="187" fillId="0" borderId="37" xfId="0" applyFont="1" applyFill="1" applyBorder="1" applyAlignment="1"/>
    <xf numFmtId="0" fontId="187" fillId="0" borderId="140" xfId="0" applyFont="1" applyFill="1" applyBorder="1" applyAlignment="1"/>
    <xf numFmtId="0" fontId="169" fillId="0" borderId="130" xfId="0" applyFont="1" applyBorder="1" applyAlignment="1">
      <alignment vertical="center" wrapText="1"/>
    </xf>
    <xf numFmtId="0" fontId="169" fillId="0" borderId="37" xfId="0" applyFont="1" applyBorder="1" applyAlignment="1">
      <alignment vertical="center" wrapText="1"/>
    </xf>
    <xf numFmtId="0" fontId="169" fillId="0" borderId="140" xfId="0" applyFont="1" applyBorder="1" applyAlignment="1">
      <alignment vertical="center" wrapText="1"/>
    </xf>
    <xf numFmtId="0" fontId="169" fillId="0" borderId="139" xfId="0" applyFont="1" applyBorder="1" applyAlignment="1">
      <alignment horizontal="left" vertical="center"/>
    </xf>
    <xf numFmtId="0" fontId="169" fillId="0" borderId="143" xfId="0" applyFont="1" applyBorder="1" applyAlignment="1">
      <alignment horizontal="left" vertical="center"/>
    </xf>
    <xf numFmtId="0" fontId="169" fillId="0" borderId="113" xfId="0" applyFont="1" applyBorder="1" applyAlignment="1">
      <alignment horizontal="left" vertical="center"/>
    </xf>
    <xf numFmtId="0" fontId="186" fillId="85" borderId="183" xfId="0" applyFont="1" applyFill="1" applyBorder="1" applyAlignment="1">
      <alignment horizontal="center"/>
    </xf>
    <xf numFmtId="0" fontId="186" fillId="85" borderId="29" xfId="0" applyFont="1" applyFill="1" applyBorder="1" applyAlignment="1">
      <alignment horizontal="center"/>
    </xf>
    <xf numFmtId="0" fontId="186" fillId="85" borderId="106" xfId="0" applyFont="1" applyFill="1" applyBorder="1" applyAlignment="1">
      <alignment horizontal="center"/>
    </xf>
    <xf numFmtId="0" fontId="169" fillId="0" borderId="130" xfId="0" applyFont="1" applyBorder="1" applyAlignment="1">
      <alignment vertical="top" wrapText="1"/>
    </xf>
    <xf numFmtId="0" fontId="169" fillId="0" borderId="37" xfId="0" applyFont="1" applyBorder="1" applyAlignment="1">
      <alignment vertical="top" wrapText="1"/>
    </xf>
    <xf numFmtId="0" fontId="169" fillId="0" borderId="140" xfId="0" applyFont="1" applyBorder="1" applyAlignment="1">
      <alignment vertical="top" wrapText="1"/>
    </xf>
    <xf numFmtId="0" fontId="186" fillId="85" borderId="130" xfId="0" applyFont="1" applyFill="1" applyBorder="1" applyAlignment="1">
      <alignment horizontal="center"/>
    </xf>
    <xf numFmtId="0" fontId="186" fillId="85" borderId="37" xfId="0" applyFont="1" applyFill="1" applyBorder="1" applyAlignment="1">
      <alignment horizontal="center"/>
    </xf>
    <xf numFmtId="0" fontId="186" fillId="85" borderId="140" xfId="0" applyFont="1" applyFill="1" applyBorder="1" applyAlignment="1">
      <alignment horizontal="center"/>
    </xf>
    <xf numFmtId="0" fontId="187" fillId="0" borderId="130" xfId="0" applyFont="1" applyFill="1" applyBorder="1" applyAlignment="1">
      <alignment horizontal="left"/>
    </xf>
    <xf numFmtId="0" fontId="187" fillId="0" borderId="37" xfId="0" applyFont="1" applyFill="1" applyBorder="1" applyAlignment="1">
      <alignment horizontal="left"/>
    </xf>
    <xf numFmtId="0" fontId="187" fillId="0" borderId="140" xfId="0" applyFont="1" applyFill="1" applyBorder="1" applyAlignment="1">
      <alignment horizontal="left"/>
    </xf>
    <xf numFmtId="0" fontId="169" fillId="0" borderId="130" xfId="0" applyFont="1" applyBorder="1" applyAlignment="1">
      <alignment horizontal="left" wrapText="1"/>
    </xf>
    <xf numFmtId="0" fontId="169" fillId="0" borderId="37" xfId="0" applyFont="1" applyBorder="1" applyAlignment="1">
      <alignment horizontal="left" wrapText="1"/>
    </xf>
    <xf numFmtId="0" fontId="169" fillId="0" borderId="140" xfId="0" applyFont="1" applyBorder="1" applyAlignment="1">
      <alignment horizontal="left" wrapText="1"/>
    </xf>
    <xf numFmtId="0" fontId="186" fillId="82" borderId="152" xfId="0" applyFont="1" applyFill="1" applyBorder="1" applyAlignment="1">
      <alignment horizontal="center"/>
    </xf>
    <xf numFmtId="0" fontId="186" fillId="82" borderId="86" xfId="0" applyFont="1" applyFill="1" applyBorder="1" applyAlignment="1">
      <alignment horizontal="center"/>
    </xf>
    <xf numFmtId="0" fontId="186" fillId="82" borderId="144" xfId="0" applyFont="1" applyFill="1" applyBorder="1" applyAlignment="1">
      <alignment horizontal="center"/>
    </xf>
    <xf numFmtId="0" fontId="186" fillId="84" borderId="130" xfId="0" applyFont="1" applyFill="1" applyBorder="1" applyAlignment="1">
      <alignment horizontal="center"/>
    </xf>
    <xf numFmtId="0" fontId="186" fillId="84" borderId="37" xfId="0" applyFont="1" applyFill="1" applyBorder="1" applyAlignment="1">
      <alignment horizontal="center"/>
    </xf>
    <xf numFmtId="0" fontId="186" fillId="84" borderId="140" xfId="0" applyFont="1" applyFill="1" applyBorder="1" applyAlignment="1">
      <alignment horizontal="center"/>
    </xf>
    <xf numFmtId="0" fontId="169" fillId="0" borderId="139" xfId="0" applyFont="1" applyBorder="1" applyAlignment="1">
      <alignment horizontal="left" vertical="center" wrapText="1"/>
    </xf>
    <xf numFmtId="0" fontId="169" fillId="0" borderId="143" xfId="0" applyFont="1" applyBorder="1" applyAlignment="1">
      <alignment horizontal="left" vertical="center" wrapText="1"/>
    </xf>
    <xf numFmtId="0" fontId="169" fillId="0" borderId="113" xfId="0" applyFont="1" applyBorder="1" applyAlignment="1">
      <alignment horizontal="left" vertical="center" wrapText="1"/>
    </xf>
    <xf numFmtId="0" fontId="186" fillId="80" borderId="152" xfId="0" applyFont="1" applyFill="1" applyBorder="1" applyAlignment="1">
      <alignment horizontal="center"/>
    </xf>
    <xf numFmtId="0" fontId="186" fillId="80" borderId="86" xfId="0" applyFont="1" applyFill="1" applyBorder="1" applyAlignment="1">
      <alignment horizontal="center"/>
    </xf>
    <xf numFmtId="0" fontId="186" fillId="80" borderId="144" xfId="0" applyFont="1" applyFill="1" applyBorder="1" applyAlignment="1">
      <alignment horizontal="center"/>
    </xf>
    <xf numFmtId="0" fontId="169" fillId="0" borderId="152" xfId="0" applyFont="1" applyBorder="1" applyAlignment="1">
      <alignment horizontal="left" vertical="center" wrapText="1"/>
    </xf>
    <xf numFmtId="0" fontId="169" fillId="0" borderId="86" xfId="0" applyFont="1" applyBorder="1" applyAlignment="1">
      <alignment horizontal="left" vertical="center" wrapText="1"/>
    </xf>
    <xf numFmtId="0" fontId="169" fillId="0" borderId="144" xfId="0" applyFont="1" applyBorder="1" applyAlignment="1">
      <alignment horizontal="left" vertical="center" wrapText="1"/>
    </xf>
    <xf numFmtId="0" fontId="192" fillId="0" borderId="183" xfId="0" applyFont="1" applyBorder="1" applyAlignment="1">
      <alignment horizontal="left" wrapText="1"/>
    </xf>
    <xf numFmtId="0" fontId="192" fillId="0" borderId="29" xfId="0" applyFont="1" applyBorder="1" applyAlignment="1">
      <alignment horizontal="left" wrapText="1"/>
    </xf>
    <xf numFmtId="0" fontId="192" fillId="0" borderId="106" xfId="0" applyFont="1" applyBorder="1" applyAlignment="1">
      <alignment horizontal="left" wrapText="1"/>
    </xf>
    <xf numFmtId="0" fontId="161" fillId="0" borderId="23" xfId="0" applyFont="1" applyFill="1" applyBorder="1" applyAlignment="1">
      <alignment horizontal="left"/>
    </xf>
    <xf numFmtId="0" fontId="161" fillId="0" borderId="6" xfId="0" applyFont="1" applyFill="1" applyBorder="1" applyAlignment="1">
      <alignment horizontal="left"/>
    </xf>
    <xf numFmtId="0" fontId="161" fillId="0" borderId="22" xfId="0" applyFont="1" applyFill="1" applyBorder="1" applyAlignment="1">
      <alignment horizontal="left"/>
    </xf>
    <xf numFmtId="0" fontId="157" fillId="0" borderId="139" xfId="0" applyFont="1" applyBorder="1" applyAlignment="1">
      <alignment horizontal="left" vertical="center"/>
    </xf>
    <xf numFmtId="0" fontId="157" fillId="0" borderId="143" xfId="0" applyFont="1" applyBorder="1" applyAlignment="1">
      <alignment horizontal="left" vertical="center"/>
    </xf>
    <xf numFmtId="0" fontId="157" fillId="0" borderId="113" xfId="0" applyFont="1" applyBorder="1" applyAlignment="1">
      <alignment horizontal="left" vertical="center"/>
    </xf>
    <xf numFmtId="0" fontId="167" fillId="82" borderId="191" xfId="0" applyFont="1" applyFill="1" applyBorder="1" applyAlignment="1">
      <alignment horizontal="center"/>
    </xf>
    <xf numFmtId="0" fontId="167" fillId="82" borderId="8" xfId="0" applyFont="1" applyFill="1" applyBorder="1" applyAlignment="1">
      <alignment horizontal="center"/>
    </xf>
    <xf numFmtId="0" fontId="167" fillId="82" borderId="196" xfId="0" applyFont="1" applyFill="1" applyBorder="1" applyAlignment="1">
      <alignment horizontal="center"/>
    </xf>
    <xf numFmtId="0" fontId="159" fillId="8" borderId="130" xfId="0" applyFont="1" applyFill="1" applyBorder="1" applyAlignment="1">
      <alignment horizontal="left" vertical="center" wrapText="1"/>
    </xf>
    <xf numFmtId="0" fontId="159" fillId="8" borderId="37" xfId="0" applyFont="1" applyFill="1" applyBorder="1" applyAlignment="1">
      <alignment horizontal="left" vertical="center" wrapText="1"/>
    </xf>
    <xf numFmtId="0" fontId="159" fillId="8" borderId="31" xfId="0" applyFont="1" applyFill="1" applyBorder="1" applyAlignment="1">
      <alignment horizontal="left" vertical="center" wrapText="1"/>
    </xf>
    <xf numFmtId="0" fontId="171" fillId="93" borderId="20" xfId="14" applyFont="1" applyFill="1" applyBorder="1" applyAlignment="1">
      <alignment horizontal="center" vertical="center"/>
    </xf>
    <xf numFmtId="0" fontId="171" fillId="93" borderId="19" xfId="14" applyFont="1" applyFill="1" applyBorder="1" applyAlignment="1">
      <alignment horizontal="center" vertical="center"/>
    </xf>
    <xf numFmtId="0" fontId="171" fillId="93" borderId="49" xfId="14" applyFont="1" applyFill="1" applyBorder="1" applyAlignment="1">
      <alignment horizontal="center" vertical="center"/>
    </xf>
    <xf numFmtId="0" fontId="171" fillId="93" borderId="154" xfId="14" applyFont="1" applyFill="1" applyBorder="1" applyAlignment="1">
      <alignment horizontal="center" vertical="center"/>
    </xf>
    <xf numFmtId="0" fontId="171" fillId="93" borderId="18" xfId="14" applyFont="1" applyFill="1" applyBorder="1" applyAlignment="1">
      <alignment horizontal="center" vertical="center"/>
    </xf>
    <xf numFmtId="0" fontId="160" fillId="0" borderId="140" xfId="0" applyFont="1" applyFill="1" applyBorder="1" applyAlignment="1">
      <alignment horizontal="left" vertical="center" wrapText="1"/>
    </xf>
    <xf numFmtId="0" fontId="159" fillId="8" borderId="152" xfId="0" applyFont="1" applyFill="1" applyBorder="1" applyAlignment="1">
      <alignment horizontal="left" vertical="center" wrapText="1"/>
    </xf>
    <xf numFmtId="0" fontId="159" fillId="8" borderId="86" xfId="0" applyFont="1" applyFill="1" applyBorder="1" applyAlignment="1">
      <alignment horizontal="left" vertical="center" wrapText="1"/>
    </xf>
    <xf numFmtId="0" fontId="159" fillId="8" borderId="16" xfId="0" applyFont="1" applyFill="1" applyBorder="1" applyAlignment="1">
      <alignment horizontal="left" vertical="center" wrapText="1"/>
    </xf>
    <xf numFmtId="0" fontId="171" fillId="74" borderId="25" xfId="0" applyFont="1" applyFill="1" applyBorder="1" applyAlignment="1">
      <alignment horizontal="center" vertical="center"/>
    </xf>
    <xf numFmtId="0" fontId="171" fillId="74" borderId="149" xfId="0" applyFont="1" applyFill="1" applyBorder="1" applyAlignment="1">
      <alignment horizontal="center" vertical="center"/>
    </xf>
    <xf numFmtId="0" fontId="171" fillId="10" borderId="148" xfId="0" applyFont="1" applyFill="1" applyBorder="1" applyAlignment="1">
      <alignment horizontal="center" vertical="center"/>
    </xf>
    <xf numFmtId="0" fontId="171" fillId="10" borderId="179" xfId="0" applyFont="1" applyFill="1" applyBorder="1" applyAlignment="1">
      <alignment horizontal="center" vertical="center"/>
    </xf>
    <xf numFmtId="0" fontId="161" fillId="0" borderId="21" xfId="0" applyFont="1" applyFill="1" applyBorder="1" applyAlignment="1">
      <alignment horizontal="left" vertical="center" wrapText="1"/>
    </xf>
    <xf numFmtId="0" fontId="161" fillId="0" borderId="87" xfId="0" applyFont="1" applyFill="1" applyBorder="1" applyAlignment="1">
      <alignment horizontal="left" vertical="center" wrapText="1"/>
    </xf>
    <xf numFmtId="0" fontId="161" fillId="0" borderId="15" xfId="0" applyFont="1" applyFill="1" applyBorder="1" applyAlignment="1">
      <alignment horizontal="left" vertical="center" wrapText="1"/>
    </xf>
    <xf numFmtId="0" fontId="172" fillId="91" borderId="147" xfId="0" applyFont="1" applyFill="1" applyBorder="1" applyAlignment="1">
      <alignment horizontal="center" vertical="center"/>
    </xf>
    <xf numFmtId="0" fontId="172" fillId="91" borderId="123" xfId="0" applyFont="1" applyFill="1" applyBorder="1" applyAlignment="1">
      <alignment horizontal="center" vertical="center"/>
    </xf>
    <xf numFmtId="0" fontId="172" fillId="91" borderId="122" xfId="0" applyFont="1" applyFill="1" applyBorder="1" applyAlignment="1">
      <alignment horizontal="center" vertical="center"/>
    </xf>
    <xf numFmtId="0" fontId="172" fillId="91" borderId="103" xfId="0" applyFont="1" applyFill="1" applyBorder="1" applyAlignment="1">
      <alignment horizontal="center" vertical="center"/>
    </xf>
    <xf numFmtId="0" fontId="172" fillId="91" borderId="117" xfId="0" applyFont="1" applyFill="1" applyBorder="1" applyAlignment="1">
      <alignment horizontal="center" vertical="center"/>
    </xf>
    <xf numFmtId="0" fontId="171" fillId="74" borderId="120" xfId="0" applyFont="1" applyFill="1" applyBorder="1" applyAlignment="1">
      <alignment horizontal="center" vertical="center"/>
    </xf>
    <xf numFmtId="0" fontId="171" fillId="74" borderId="121" xfId="0" applyFont="1" applyFill="1" applyBorder="1" applyAlignment="1">
      <alignment horizontal="center" vertical="center"/>
    </xf>
    <xf numFmtId="0" fontId="171" fillId="74" borderId="122" xfId="0" applyFont="1" applyFill="1" applyBorder="1" applyAlignment="1">
      <alignment horizontal="center" vertical="center"/>
    </xf>
    <xf numFmtId="0" fontId="171" fillId="74" borderId="183" xfId="0" applyFont="1" applyFill="1" applyBorder="1" applyAlignment="1">
      <alignment horizontal="center" vertical="center"/>
    </xf>
    <xf numFmtId="0" fontId="171" fillId="74" borderId="29" xfId="0" applyFont="1" applyFill="1" applyBorder="1" applyAlignment="1">
      <alignment horizontal="center" vertical="center"/>
    </xf>
    <xf numFmtId="0" fontId="171" fillId="74" borderId="106" xfId="0" applyFont="1" applyFill="1" applyBorder="1" applyAlignment="1">
      <alignment horizontal="center" vertical="center"/>
    </xf>
    <xf numFmtId="0" fontId="171" fillId="77" borderId="153" xfId="0" applyFont="1" applyFill="1" applyBorder="1" applyAlignment="1">
      <alignment horizontal="center" vertical="center"/>
    </xf>
    <xf numFmtId="0" fontId="171" fillId="77" borderId="25" xfId="0" applyFont="1" applyFill="1" applyBorder="1" applyAlignment="1">
      <alignment horizontal="center" vertical="center"/>
    </xf>
    <xf numFmtId="0" fontId="171" fillId="77" borderId="149" xfId="0" applyFont="1" applyFill="1" applyBorder="1" applyAlignment="1">
      <alignment horizontal="center" vertical="center"/>
    </xf>
    <xf numFmtId="0" fontId="172" fillId="91" borderId="153" xfId="0" applyFont="1" applyFill="1" applyBorder="1" applyAlignment="1">
      <alignment horizontal="center" vertical="center"/>
    </xf>
    <xf numFmtId="0" fontId="172" fillId="91" borderId="25" xfId="0" applyFont="1" applyFill="1" applyBorder="1" applyAlignment="1">
      <alignment horizontal="center" vertical="center"/>
    </xf>
    <xf numFmtId="0" fontId="172" fillId="91" borderId="149" xfId="0" applyFont="1" applyFill="1" applyBorder="1" applyAlignment="1">
      <alignment horizontal="center" vertical="center"/>
    </xf>
    <xf numFmtId="167" fontId="163" fillId="0" borderId="10" xfId="1" applyNumberFormat="1" applyFont="1" applyBorder="1"/>
    <xf numFmtId="167" fontId="174" fillId="0" borderId="168" xfId="1" applyNumberFormat="1" applyFont="1" applyBorder="1"/>
    <xf numFmtId="167" fontId="163" fillId="0" borderId="1" xfId="1" applyNumberFormat="1" applyFont="1" applyBorder="1"/>
    <xf numFmtId="167" fontId="163" fillId="0" borderId="41" xfId="1" applyNumberFormat="1" applyFont="1" applyBorder="1"/>
    <xf numFmtId="167" fontId="178" fillId="0" borderId="135" xfId="1" applyNumberFormat="1" applyFont="1" applyBorder="1"/>
    <xf numFmtId="167" fontId="169" fillId="0" borderId="41" xfId="418" applyNumberFormat="1" applyFont="1" applyBorder="1"/>
    <xf numFmtId="164" fontId="187" fillId="0" borderId="168" xfId="418" applyFont="1" applyBorder="1" applyAlignment="1">
      <alignment horizontal="center" vertical="center"/>
    </xf>
    <xf numFmtId="164" fontId="169" fillId="0" borderId="168" xfId="418" applyFont="1" applyBorder="1" applyAlignment="1">
      <alignment horizontal="center" vertical="center"/>
    </xf>
    <xf numFmtId="164" fontId="169" fillId="0" borderId="10" xfId="418" applyFont="1" applyBorder="1" applyAlignment="1">
      <alignment horizontal="center" vertical="center"/>
    </xf>
    <xf numFmtId="164" fontId="169" fillId="0" borderId="41" xfId="418" applyFont="1" applyBorder="1" applyAlignment="1">
      <alignment horizontal="center" vertical="center"/>
    </xf>
    <xf numFmtId="164" fontId="187" fillId="0" borderId="10" xfId="418" applyFont="1" applyBorder="1" applyAlignment="1">
      <alignment horizontal="center" vertical="center"/>
    </xf>
    <xf numFmtId="164" fontId="187" fillId="0" borderId="41" xfId="418" applyFont="1" applyBorder="1" applyAlignment="1">
      <alignment horizontal="center" vertical="center"/>
    </xf>
    <xf numFmtId="43" fontId="178" fillId="0" borderId="135" xfId="1" applyNumberFormat="1" applyFont="1" applyBorder="1"/>
    <xf numFmtId="43" fontId="163" fillId="0" borderId="168" xfId="1" applyFont="1" applyFill="1" applyBorder="1" applyAlignment="1">
      <alignment horizontal="center" vertical="center"/>
    </xf>
    <xf numFmtId="43" fontId="204" fillId="0" borderId="10" xfId="1" applyFont="1" applyFill="1" applyBorder="1" applyAlignment="1">
      <alignment vertical="center"/>
    </xf>
    <xf numFmtId="43" fontId="204" fillId="0" borderId="1" xfId="1" applyFont="1" applyFill="1" applyBorder="1" applyAlignment="1">
      <alignment vertical="center"/>
    </xf>
    <xf numFmtId="43" fontId="204" fillId="0" borderId="41" xfId="1" applyFont="1" applyFill="1" applyBorder="1" applyAlignment="1">
      <alignment vertical="center"/>
    </xf>
  </cellXfs>
  <cellStyles count="2667">
    <cellStyle name="20% - Accent1" xfId="171" xr:uid="{00000000-0005-0000-0000-000000000000}"/>
    <cellStyle name="20% - Accent1 2" xfId="1132" xr:uid="{00000000-0005-0000-0000-000000000000}"/>
    <cellStyle name="20% - Accent1 3" xfId="1623" xr:uid="{00000000-0005-0000-0000-0000A4000000}"/>
    <cellStyle name="20% - Accent1 4" xfId="2174" xr:uid="{00000000-0005-0000-0000-000000000000}"/>
    <cellStyle name="20% - Accent1 5" xfId="2410" xr:uid="{516BF009-3B4F-42FC-A557-78906B80A797}"/>
    <cellStyle name="20% - Accent2" xfId="172" xr:uid="{00000000-0005-0000-0000-000001000000}"/>
    <cellStyle name="20% - Accent2 2" xfId="1144" xr:uid="{00000000-0005-0000-0000-000001000000}"/>
    <cellStyle name="20% - Accent2 3" xfId="1624" xr:uid="{00000000-0005-0000-0000-0000A5000000}"/>
    <cellStyle name="20% - Accent2 4" xfId="2176" xr:uid="{00000000-0005-0000-0000-000001000000}"/>
    <cellStyle name="20% - Accent2 5" xfId="2440" xr:uid="{62B17FEE-7C84-46B1-B3F8-0A38201663A8}"/>
    <cellStyle name="20% - Accent3" xfId="173" xr:uid="{00000000-0005-0000-0000-000002000000}"/>
    <cellStyle name="20% - Accent3 2" xfId="1143" xr:uid="{00000000-0005-0000-0000-000002000000}"/>
    <cellStyle name="20% - Accent3 3" xfId="1625" xr:uid="{00000000-0005-0000-0000-0000A6000000}"/>
    <cellStyle name="20% - Accent3 4" xfId="2178" xr:uid="{00000000-0005-0000-0000-000002000000}"/>
    <cellStyle name="20% - Accent3 5" xfId="2414" xr:uid="{D4DAFF84-EF0F-4E01-9E09-6C5816B3E9DA}"/>
    <cellStyle name="20% - Accent4" xfId="174" xr:uid="{00000000-0005-0000-0000-000003000000}"/>
    <cellStyle name="20% - Accent4 2" xfId="1129" xr:uid="{00000000-0005-0000-0000-000003000000}"/>
    <cellStyle name="20% - Accent4 3" xfId="1626" xr:uid="{00000000-0005-0000-0000-0000A7000000}"/>
    <cellStyle name="20% - Accent4 4" xfId="2180" xr:uid="{00000000-0005-0000-0000-000003000000}"/>
    <cellStyle name="20% - Accent4 5" xfId="2420" xr:uid="{403CAD66-DCF8-4AB4-959E-E398F8906BAD}"/>
    <cellStyle name="20% - Accent5" xfId="175" xr:uid="{00000000-0005-0000-0000-000004000000}"/>
    <cellStyle name="20% - Accent5 2" xfId="1141" xr:uid="{00000000-0005-0000-0000-000004000000}"/>
    <cellStyle name="20% - Accent5 3" xfId="1627" xr:uid="{00000000-0005-0000-0000-0000A8000000}"/>
    <cellStyle name="20% - Accent5 4" xfId="2182" xr:uid="{00000000-0005-0000-0000-000004000000}"/>
    <cellStyle name="20% - Accent5 5" xfId="2463" xr:uid="{CA2FDF3D-7F5A-4509-8508-533C38F10936}"/>
    <cellStyle name="20% - Accent6" xfId="176" xr:uid="{00000000-0005-0000-0000-000005000000}"/>
    <cellStyle name="20% - Accent6 2" xfId="1103" xr:uid="{00000000-0005-0000-0000-000005000000}"/>
    <cellStyle name="20% - Accent6 3" xfId="1628" xr:uid="{00000000-0005-0000-0000-0000A9000000}"/>
    <cellStyle name="20% - Accent6 4" xfId="2184" xr:uid="{00000000-0005-0000-0000-000005000000}"/>
    <cellStyle name="20% - Accent6 5" xfId="2409" xr:uid="{F6248C3C-2086-4CED-843D-ECCA5C854366}"/>
    <cellStyle name="20% - Énfasis1" xfId="43" builtinId="30" customBuiltin="1"/>
    <cellStyle name="20% - Énfasis1 10" xfId="653" xr:uid="{00000000-0005-0000-0000-000007000000}"/>
    <cellStyle name="20% - Énfasis1 10 2" xfId="2105" xr:uid="{00000000-0005-0000-0000-000087020000}"/>
    <cellStyle name="20% - Énfasis1 11" xfId="716" xr:uid="{00000000-0005-0000-0000-000008000000}"/>
    <cellStyle name="20% - Énfasis1 12" xfId="822" xr:uid="{00000000-0005-0000-0000-000031030000}"/>
    <cellStyle name="20% - Énfasis1 13" xfId="940" xr:uid="{00000000-0005-0000-0000-0000B0030000}"/>
    <cellStyle name="20% - Énfasis1 14" xfId="1111" xr:uid="{00000000-0005-0000-0000-000049040000}"/>
    <cellStyle name="20% - Énfasis1 15" xfId="1377" xr:uid="{00000000-0005-0000-0000-000061050000}"/>
    <cellStyle name="20% - Énfasis1 16" xfId="1399" xr:uid="{00000000-0005-0000-0000-000073050000}"/>
    <cellStyle name="20% - Énfasis1 17" xfId="2424" xr:uid="{DBF1BE15-C292-4A4B-AF9D-D1870958582A}"/>
    <cellStyle name="20% - Énfasis1 2" xfId="67" xr:uid="{00000000-0005-0000-0000-000009000000}"/>
    <cellStyle name="20% - Énfasis1 2 2" xfId="1522" xr:uid="{00000000-0005-0000-0000-00003F000000}"/>
    <cellStyle name="20% - Énfasis1 3" xfId="68" xr:uid="{00000000-0005-0000-0000-00000A000000}"/>
    <cellStyle name="20% - Énfasis1 3 2" xfId="969" xr:uid="{00000000-0005-0000-0000-000008000000}"/>
    <cellStyle name="20% - Énfasis1 3 3" xfId="1523" xr:uid="{00000000-0005-0000-0000-000040000000}"/>
    <cellStyle name="20% - Énfasis1 4" xfId="264" xr:uid="{00000000-0005-0000-0000-00000B000000}"/>
    <cellStyle name="20% - Énfasis1 4 2" xfId="493" xr:uid="{00000000-0005-0000-0000-00000C000000}"/>
    <cellStyle name="20% - Énfasis1 4 2 2" xfId="1308" xr:uid="{00000000-0005-0000-0000-000009000000}"/>
    <cellStyle name="20% - Énfasis1 4 2 3" xfId="1945" xr:uid="{00000000-0005-0000-0000-0000E7010000}"/>
    <cellStyle name="20% - Énfasis1 4 2 4" xfId="2342" xr:uid="{00000000-0005-0000-0000-000009000000}"/>
    <cellStyle name="20% - Énfasis1 4 2 5" xfId="2608" xr:uid="{1D9DB4F4-4663-441E-A9C5-0C17D1601EA3}"/>
    <cellStyle name="20% - Énfasis1 4 3" xfId="729" xr:uid="{00000000-0005-0000-0000-00000D000000}"/>
    <cellStyle name="20% - Énfasis1 4 4" xfId="883" xr:uid="{00000000-0005-0000-0000-000009000000}"/>
    <cellStyle name="20% - Énfasis1 4 5" xfId="1178" xr:uid="{00000000-0005-0000-0000-000009000000}"/>
    <cellStyle name="20% - Énfasis1 4 6" xfId="1444" xr:uid="{00000000-0005-0000-0000-000009000000}"/>
    <cellStyle name="20% - Énfasis1 4 7" xfId="1717" xr:uid="{00000000-0005-0000-0000-000002010000}"/>
    <cellStyle name="20% - Énfasis1 4 8" xfId="2219" xr:uid="{00000000-0005-0000-0000-000008000000}"/>
    <cellStyle name="20% - Énfasis1 4 9" xfId="2474" xr:uid="{975FC6C1-D13D-47FC-8469-FA20289D0573}"/>
    <cellStyle name="20% - Énfasis1 5" xfId="287" xr:uid="{00000000-0005-0000-0000-00000E000000}"/>
    <cellStyle name="20% - Énfasis1 5 2" xfId="516" xr:uid="{00000000-0005-0000-0000-00000F000000}"/>
    <cellStyle name="20% - Énfasis1 5 2 2" xfId="1329" xr:uid="{00000000-0005-0000-0000-00000B000000}"/>
    <cellStyle name="20% - Énfasis1 5 2 3" xfId="1968" xr:uid="{00000000-0005-0000-0000-0000FE010000}"/>
    <cellStyle name="20% - Énfasis1 5 2 4" xfId="2365" xr:uid="{00000000-0005-0000-0000-00000B000000}"/>
    <cellStyle name="20% - Énfasis1 5 2 5" xfId="2629" xr:uid="{A6C4156F-F202-4EF6-8980-9953F1328334}"/>
    <cellStyle name="20% - Énfasis1 5 3" xfId="906" xr:uid="{00000000-0005-0000-0000-00000A000000}"/>
    <cellStyle name="20% - Énfasis1 5 4" xfId="1201" xr:uid="{00000000-0005-0000-0000-00000A000000}"/>
    <cellStyle name="20% - Énfasis1 5 5" xfId="1467" xr:uid="{00000000-0005-0000-0000-00000A000000}"/>
    <cellStyle name="20% - Énfasis1 5 6" xfId="1740" xr:uid="{00000000-0005-0000-0000-000019010000}"/>
    <cellStyle name="20% - Énfasis1 5 7" xfId="2242" xr:uid="{00000000-0005-0000-0000-00000A000000}"/>
    <cellStyle name="20% - Énfasis1 5 8" xfId="2497" xr:uid="{03FD2F11-3FDA-4A98-BD70-E6A98D9A5037}"/>
    <cellStyle name="20% - Énfasis1 6" xfId="315" xr:uid="{00000000-0005-0000-0000-000010000000}"/>
    <cellStyle name="20% - Énfasis1 6 2" xfId="543" xr:uid="{00000000-0005-0000-0000-000011000000}"/>
    <cellStyle name="20% - Énfasis1 6 2 2" xfId="1356" xr:uid="{00000000-0005-0000-0000-00000D000000}"/>
    <cellStyle name="20% - Énfasis1 6 2 3" xfId="1995" xr:uid="{00000000-0005-0000-0000-000019020000}"/>
    <cellStyle name="20% - Énfasis1 6 2 4" xfId="2392" xr:uid="{00000000-0005-0000-0000-00000D000000}"/>
    <cellStyle name="20% - Énfasis1 6 2 5" xfId="2651" xr:uid="{8DB05000-815D-43CA-828D-81726988C372}"/>
    <cellStyle name="20% - Énfasis1 6 3" xfId="1236" xr:uid="{00000000-0005-0000-0000-00000C000000}"/>
    <cellStyle name="20% - Énfasis1 6 4" xfId="1767" xr:uid="{00000000-0005-0000-0000-000035010000}"/>
    <cellStyle name="20% - Énfasis1 6 5" xfId="2269" xr:uid="{00000000-0005-0000-0000-00000C000000}"/>
    <cellStyle name="20% - Énfasis1 6 6" xfId="2538" xr:uid="{C720794B-8D59-4C23-A930-7D3D29742537}"/>
    <cellStyle name="20% - Énfasis1 7" xfId="333" xr:uid="{00000000-0005-0000-0000-000012000000}"/>
    <cellStyle name="20% - Énfasis1 7 2" xfId="560" xr:uid="{00000000-0005-0000-0000-000013000000}"/>
    <cellStyle name="20% - Énfasis1 7 2 2" xfId="2012" xr:uid="{00000000-0005-0000-0000-00002A020000}"/>
    <cellStyle name="20% - Énfasis1 7 3" xfId="1251" xr:uid="{00000000-0005-0000-0000-00000E000000}"/>
    <cellStyle name="20% - Énfasis1 7 4" xfId="1785" xr:uid="{00000000-0005-0000-0000-000047010000}"/>
    <cellStyle name="20% - Énfasis1 7 5" xfId="2287" xr:uid="{00000000-0005-0000-0000-00000E000000}"/>
    <cellStyle name="20% - Énfasis1 7 6" xfId="2553" xr:uid="{6B9E89CD-BCB6-4B82-B637-217D53727DFA}"/>
    <cellStyle name="20% - Énfasis1 8" xfId="367" xr:uid="{00000000-0005-0000-0000-000014000000}"/>
    <cellStyle name="20% - Énfasis1 8 2" xfId="594" xr:uid="{00000000-0005-0000-0000-000015000000}"/>
    <cellStyle name="20% - Énfasis1 8 2 2" xfId="2046" xr:uid="{00000000-0005-0000-0000-00004C020000}"/>
    <cellStyle name="20% - Énfasis1 8 3" xfId="1819" xr:uid="{00000000-0005-0000-0000-000069010000}"/>
    <cellStyle name="20% - Énfasis1 9" xfId="431" xr:uid="{00000000-0005-0000-0000-000016000000}"/>
    <cellStyle name="20% - Énfasis1 9 2" xfId="1883" xr:uid="{00000000-0005-0000-0000-0000A9010000}"/>
    <cellStyle name="20% - Énfasis2" xfId="47" builtinId="34" customBuiltin="1"/>
    <cellStyle name="20% - Énfasis2 10" xfId="655" xr:uid="{00000000-0005-0000-0000-000018000000}"/>
    <cellStyle name="20% - Énfasis2 10 2" xfId="2107" xr:uid="{00000000-0005-0000-0000-000089020000}"/>
    <cellStyle name="20% - Énfasis2 11" xfId="718" xr:uid="{00000000-0005-0000-0000-000019000000}"/>
    <cellStyle name="20% - Énfasis2 12" xfId="824" xr:uid="{00000000-0005-0000-0000-000034030000}"/>
    <cellStyle name="20% - Énfasis2 13" xfId="942" xr:uid="{00000000-0005-0000-0000-0000B2030000}"/>
    <cellStyle name="20% - Énfasis2 14" xfId="1113" xr:uid="{00000000-0005-0000-0000-00004C040000}"/>
    <cellStyle name="20% - Énfasis2 15" xfId="1379" xr:uid="{00000000-0005-0000-0000-000062050000}"/>
    <cellStyle name="20% - Énfasis2 16" xfId="1401" xr:uid="{00000000-0005-0000-0000-000076050000}"/>
    <cellStyle name="20% - Énfasis2 17" xfId="2426" xr:uid="{3B99D77D-E98E-41C5-9EF4-8B9E1B715E2A}"/>
    <cellStyle name="20% - Énfasis2 2" xfId="69" xr:uid="{00000000-0005-0000-0000-00001A000000}"/>
    <cellStyle name="20% - Énfasis2 2 2" xfId="1524" xr:uid="{00000000-0005-0000-0000-000041000000}"/>
    <cellStyle name="20% - Énfasis2 3" xfId="70" xr:uid="{00000000-0005-0000-0000-00001B000000}"/>
    <cellStyle name="20% - Énfasis2 3 2" xfId="970" xr:uid="{00000000-0005-0000-0000-00000B000000}"/>
    <cellStyle name="20% - Énfasis2 3 3" xfId="1525" xr:uid="{00000000-0005-0000-0000-000042000000}"/>
    <cellStyle name="20% - Énfasis2 4" xfId="265" xr:uid="{00000000-0005-0000-0000-00001C000000}"/>
    <cellStyle name="20% - Énfasis2 4 2" xfId="494" xr:uid="{00000000-0005-0000-0000-00001D000000}"/>
    <cellStyle name="20% - Énfasis2 4 2 2" xfId="1309" xr:uid="{00000000-0005-0000-0000-000012000000}"/>
    <cellStyle name="20% - Énfasis2 4 2 3" xfId="1946" xr:uid="{00000000-0005-0000-0000-0000E8010000}"/>
    <cellStyle name="20% - Énfasis2 4 2 4" xfId="2343" xr:uid="{00000000-0005-0000-0000-000012000000}"/>
    <cellStyle name="20% - Énfasis2 4 2 5" xfId="2609" xr:uid="{D4BE49D2-4522-4D28-BDA6-3B8EFDFE02E9}"/>
    <cellStyle name="20% - Énfasis2 4 3" xfId="730" xr:uid="{00000000-0005-0000-0000-00001E000000}"/>
    <cellStyle name="20% - Énfasis2 4 4" xfId="884" xr:uid="{00000000-0005-0000-0000-00000E000000}"/>
    <cellStyle name="20% - Énfasis2 4 5" xfId="1179" xr:uid="{00000000-0005-0000-0000-00000E000000}"/>
    <cellStyle name="20% - Énfasis2 4 6" xfId="1445" xr:uid="{00000000-0005-0000-0000-00000E000000}"/>
    <cellStyle name="20% - Énfasis2 4 7" xfId="1718" xr:uid="{00000000-0005-0000-0000-000003010000}"/>
    <cellStyle name="20% - Énfasis2 4 8" xfId="2220" xr:uid="{00000000-0005-0000-0000-000011000000}"/>
    <cellStyle name="20% - Énfasis2 4 9" xfId="2475" xr:uid="{66178723-5001-4E27-9BDE-069371234C64}"/>
    <cellStyle name="20% - Énfasis2 5" xfId="288" xr:uid="{00000000-0005-0000-0000-00001F000000}"/>
    <cellStyle name="20% - Énfasis2 5 2" xfId="517" xr:uid="{00000000-0005-0000-0000-000020000000}"/>
    <cellStyle name="20% - Énfasis2 5 2 2" xfId="1330" xr:uid="{00000000-0005-0000-0000-000014000000}"/>
    <cellStyle name="20% - Énfasis2 5 2 3" xfId="1969" xr:uid="{00000000-0005-0000-0000-0000FF010000}"/>
    <cellStyle name="20% - Énfasis2 5 2 4" xfId="2366" xr:uid="{00000000-0005-0000-0000-000014000000}"/>
    <cellStyle name="20% - Énfasis2 5 2 5" xfId="2630" xr:uid="{21E440F8-6EDD-4B19-AF68-7AC989E14FE9}"/>
    <cellStyle name="20% - Énfasis2 5 3" xfId="907" xr:uid="{00000000-0005-0000-0000-00000F000000}"/>
    <cellStyle name="20% - Énfasis2 5 4" xfId="1202" xr:uid="{00000000-0005-0000-0000-00000F000000}"/>
    <cellStyle name="20% - Énfasis2 5 5" xfId="1468" xr:uid="{00000000-0005-0000-0000-00000F000000}"/>
    <cellStyle name="20% - Énfasis2 5 6" xfId="1741" xr:uid="{00000000-0005-0000-0000-00001A010000}"/>
    <cellStyle name="20% - Énfasis2 5 7" xfId="2243" xr:uid="{00000000-0005-0000-0000-000013000000}"/>
    <cellStyle name="20% - Énfasis2 5 8" xfId="2498" xr:uid="{68D8DB5E-828E-4587-B5DF-AE8783A73AE1}"/>
    <cellStyle name="20% - Énfasis2 6" xfId="317" xr:uid="{00000000-0005-0000-0000-000021000000}"/>
    <cellStyle name="20% - Énfasis2 6 2" xfId="545" xr:uid="{00000000-0005-0000-0000-000022000000}"/>
    <cellStyle name="20% - Énfasis2 6 2 2" xfId="1358" xr:uid="{00000000-0005-0000-0000-000016000000}"/>
    <cellStyle name="20% - Énfasis2 6 2 3" xfId="1997" xr:uid="{00000000-0005-0000-0000-00001B020000}"/>
    <cellStyle name="20% - Énfasis2 6 2 4" xfId="2394" xr:uid="{00000000-0005-0000-0000-000016000000}"/>
    <cellStyle name="20% - Énfasis2 6 2 5" xfId="2653" xr:uid="{904878ED-8B27-4F20-81A5-54A053A4EC4B}"/>
    <cellStyle name="20% - Énfasis2 6 3" xfId="1238" xr:uid="{00000000-0005-0000-0000-000015000000}"/>
    <cellStyle name="20% - Énfasis2 6 4" xfId="1769" xr:uid="{00000000-0005-0000-0000-000037010000}"/>
    <cellStyle name="20% - Énfasis2 6 5" xfId="2271" xr:uid="{00000000-0005-0000-0000-000015000000}"/>
    <cellStyle name="20% - Énfasis2 6 6" xfId="2540" xr:uid="{A48DEB22-CF00-45B4-8CAE-DBDFC9A7C724}"/>
    <cellStyle name="20% - Énfasis2 7" xfId="335" xr:uid="{00000000-0005-0000-0000-000023000000}"/>
    <cellStyle name="20% - Énfasis2 7 2" xfId="562" xr:uid="{00000000-0005-0000-0000-000024000000}"/>
    <cellStyle name="20% - Énfasis2 7 2 2" xfId="2014" xr:uid="{00000000-0005-0000-0000-00002C020000}"/>
    <cellStyle name="20% - Énfasis2 7 3" xfId="1253" xr:uid="{00000000-0005-0000-0000-000017000000}"/>
    <cellStyle name="20% - Énfasis2 7 4" xfId="1787" xr:uid="{00000000-0005-0000-0000-000049010000}"/>
    <cellStyle name="20% - Énfasis2 7 5" xfId="2289" xr:uid="{00000000-0005-0000-0000-000017000000}"/>
    <cellStyle name="20% - Énfasis2 7 6" xfId="2555" xr:uid="{DF64F32A-661D-4D3C-92F5-5D7F87194B96}"/>
    <cellStyle name="20% - Énfasis2 8" xfId="369" xr:uid="{00000000-0005-0000-0000-000025000000}"/>
    <cellStyle name="20% - Énfasis2 8 2" xfId="596" xr:uid="{00000000-0005-0000-0000-000026000000}"/>
    <cellStyle name="20% - Énfasis2 8 2 2" xfId="2048" xr:uid="{00000000-0005-0000-0000-00004E020000}"/>
    <cellStyle name="20% - Énfasis2 8 3" xfId="1821" xr:uid="{00000000-0005-0000-0000-00006B010000}"/>
    <cellStyle name="20% - Énfasis2 9" xfId="433" xr:uid="{00000000-0005-0000-0000-000027000000}"/>
    <cellStyle name="20% - Énfasis2 9 2" xfId="1885" xr:uid="{00000000-0005-0000-0000-0000AB010000}"/>
    <cellStyle name="20% - Énfasis3" xfId="51" builtinId="38" customBuiltin="1"/>
    <cellStyle name="20% - Énfasis3 10" xfId="657" xr:uid="{00000000-0005-0000-0000-000029000000}"/>
    <cellStyle name="20% - Énfasis3 10 2" xfId="2109" xr:uid="{00000000-0005-0000-0000-00008B020000}"/>
    <cellStyle name="20% - Énfasis3 11" xfId="720" xr:uid="{00000000-0005-0000-0000-00002A000000}"/>
    <cellStyle name="20% - Énfasis3 12" xfId="826" xr:uid="{00000000-0005-0000-0000-000037030000}"/>
    <cellStyle name="20% - Énfasis3 13" xfId="944" xr:uid="{00000000-0005-0000-0000-0000B4030000}"/>
    <cellStyle name="20% - Énfasis3 14" xfId="1115" xr:uid="{00000000-0005-0000-0000-00004F040000}"/>
    <cellStyle name="20% - Énfasis3 15" xfId="1381" xr:uid="{00000000-0005-0000-0000-000063050000}"/>
    <cellStyle name="20% - Énfasis3 16" xfId="1403" xr:uid="{00000000-0005-0000-0000-000079050000}"/>
    <cellStyle name="20% - Énfasis3 17" xfId="2428" xr:uid="{01E053C8-DC23-496D-95B7-4041761BF245}"/>
    <cellStyle name="20% - Énfasis3 2" xfId="71" xr:uid="{00000000-0005-0000-0000-00002B000000}"/>
    <cellStyle name="20% - Énfasis3 2 2" xfId="1526" xr:uid="{00000000-0005-0000-0000-000043000000}"/>
    <cellStyle name="20% - Énfasis3 3" xfId="72" xr:uid="{00000000-0005-0000-0000-00002C000000}"/>
    <cellStyle name="20% - Énfasis3 3 2" xfId="971" xr:uid="{00000000-0005-0000-0000-00000E000000}"/>
    <cellStyle name="20% - Énfasis3 3 3" xfId="1527" xr:uid="{00000000-0005-0000-0000-000044000000}"/>
    <cellStyle name="20% - Énfasis3 4" xfId="266" xr:uid="{00000000-0005-0000-0000-00002D000000}"/>
    <cellStyle name="20% - Énfasis3 4 2" xfId="495" xr:uid="{00000000-0005-0000-0000-00002E000000}"/>
    <cellStyle name="20% - Énfasis3 4 2 2" xfId="1310" xr:uid="{00000000-0005-0000-0000-00001B000000}"/>
    <cellStyle name="20% - Énfasis3 4 2 3" xfId="1947" xr:uid="{00000000-0005-0000-0000-0000E9010000}"/>
    <cellStyle name="20% - Énfasis3 4 2 4" xfId="2344" xr:uid="{00000000-0005-0000-0000-00001B000000}"/>
    <cellStyle name="20% - Énfasis3 4 2 5" xfId="2610" xr:uid="{5E5A46E2-9DCF-46E6-BE86-9A41938AC096}"/>
    <cellStyle name="20% - Énfasis3 4 3" xfId="731" xr:uid="{00000000-0005-0000-0000-00002F000000}"/>
    <cellStyle name="20% - Énfasis3 4 4" xfId="885" xr:uid="{00000000-0005-0000-0000-000013000000}"/>
    <cellStyle name="20% - Énfasis3 4 5" xfId="1180" xr:uid="{00000000-0005-0000-0000-000013000000}"/>
    <cellStyle name="20% - Énfasis3 4 6" xfId="1446" xr:uid="{00000000-0005-0000-0000-000013000000}"/>
    <cellStyle name="20% - Énfasis3 4 7" xfId="1719" xr:uid="{00000000-0005-0000-0000-000004010000}"/>
    <cellStyle name="20% - Énfasis3 4 8" xfId="2221" xr:uid="{00000000-0005-0000-0000-00001A000000}"/>
    <cellStyle name="20% - Énfasis3 4 9" xfId="2476" xr:uid="{BF41E21A-DF63-4C31-AE53-BF720AC4DE9C}"/>
    <cellStyle name="20% - Énfasis3 5" xfId="289" xr:uid="{00000000-0005-0000-0000-000030000000}"/>
    <cellStyle name="20% - Énfasis3 5 2" xfId="518" xr:uid="{00000000-0005-0000-0000-000031000000}"/>
    <cellStyle name="20% - Énfasis3 5 2 2" xfId="1331" xr:uid="{00000000-0005-0000-0000-00001D000000}"/>
    <cellStyle name="20% - Énfasis3 5 2 3" xfId="1970" xr:uid="{00000000-0005-0000-0000-000000020000}"/>
    <cellStyle name="20% - Énfasis3 5 2 4" xfId="2367" xr:uid="{00000000-0005-0000-0000-00001D000000}"/>
    <cellStyle name="20% - Énfasis3 5 2 5" xfId="2631" xr:uid="{DEDD1EB0-5897-4EB0-84B3-A9AD7C9166AA}"/>
    <cellStyle name="20% - Énfasis3 5 3" xfId="908" xr:uid="{00000000-0005-0000-0000-000014000000}"/>
    <cellStyle name="20% - Énfasis3 5 4" xfId="1203" xr:uid="{00000000-0005-0000-0000-000014000000}"/>
    <cellStyle name="20% - Énfasis3 5 5" xfId="1469" xr:uid="{00000000-0005-0000-0000-000014000000}"/>
    <cellStyle name="20% - Énfasis3 5 6" xfId="1742" xr:uid="{00000000-0005-0000-0000-00001B010000}"/>
    <cellStyle name="20% - Énfasis3 5 7" xfId="2244" xr:uid="{00000000-0005-0000-0000-00001C000000}"/>
    <cellStyle name="20% - Énfasis3 5 8" xfId="2499" xr:uid="{66E2F16D-9B76-423B-9C26-303473891844}"/>
    <cellStyle name="20% - Énfasis3 6" xfId="319" xr:uid="{00000000-0005-0000-0000-000032000000}"/>
    <cellStyle name="20% - Énfasis3 6 2" xfId="547" xr:uid="{00000000-0005-0000-0000-000033000000}"/>
    <cellStyle name="20% - Énfasis3 6 2 2" xfId="1360" xr:uid="{00000000-0005-0000-0000-00001F000000}"/>
    <cellStyle name="20% - Énfasis3 6 2 3" xfId="1999" xr:uid="{00000000-0005-0000-0000-00001D020000}"/>
    <cellStyle name="20% - Énfasis3 6 2 4" xfId="2396" xr:uid="{00000000-0005-0000-0000-00001F000000}"/>
    <cellStyle name="20% - Énfasis3 6 2 5" xfId="2655" xr:uid="{C96805AD-C21C-441E-AA80-614C7AC08F23}"/>
    <cellStyle name="20% - Énfasis3 6 3" xfId="1240" xr:uid="{00000000-0005-0000-0000-00001E000000}"/>
    <cellStyle name="20% - Énfasis3 6 4" xfId="1771" xr:uid="{00000000-0005-0000-0000-000039010000}"/>
    <cellStyle name="20% - Énfasis3 6 5" xfId="2273" xr:uid="{00000000-0005-0000-0000-00001E000000}"/>
    <cellStyle name="20% - Énfasis3 6 6" xfId="2542" xr:uid="{3DA7DFEC-6862-4BF4-8FB9-A4DE8C4EF70A}"/>
    <cellStyle name="20% - Énfasis3 7" xfId="337" xr:uid="{00000000-0005-0000-0000-000034000000}"/>
    <cellStyle name="20% - Énfasis3 7 2" xfId="564" xr:uid="{00000000-0005-0000-0000-000035000000}"/>
    <cellStyle name="20% - Énfasis3 7 2 2" xfId="2016" xr:uid="{00000000-0005-0000-0000-00002E020000}"/>
    <cellStyle name="20% - Énfasis3 7 3" xfId="1255" xr:uid="{00000000-0005-0000-0000-000020000000}"/>
    <cellStyle name="20% - Énfasis3 7 4" xfId="1789" xr:uid="{00000000-0005-0000-0000-00004B010000}"/>
    <cellStyle name="20% - Énfasis3 7 5" xfId="2291" xr:uid="{00000000-0005-0000-0000-000020000000}"/>
    <cellStyle name="20% - Énfasis3 7 6" xfId="2557" xr:uid="{66727399-C432-4A3F-8C08-6039AD32B521}"/>
    <cellStyle name="20% - Énfasis3 8" xfId="371" xr:uid="{00000000-0005-0000-0000-000036000000}"/>
    <cellStyle name="20% - Énfasis3 8 2" xfId="598" xr:uid="{00000000-0005-0000-0000-000037000000}"/>
    <cellStyle name="20% - Énfasis3 8 2 2" xfId="2050" xr:uid="{00000000-0005-0000-0000-000050020000}"/>
    <cellStyle name="20% - Énfasis3 8 3" xfId="1823" xr:uid="{00000000-0005-0000-0000-00006D010000}"/>
    <cellStyle name="20% - Énfasis3 9" xfId="435" xr:uid="{00000000-0005-0000-0000-000038000000}"/>
    <cellStyle name="20% - Énfasis3 9 2" xfId="1887" xr:uid="{00000000-0005-0000-0000-0000AD010000}"/>
    <cellStyle name="20% - Énfasis4" xfId="55" builtinId="42" customBuiltin="1"/>
    <cellStyle name="20% - Énfasis4 10" xfId="659" xr:uid="{00000000-0005-0000-0000-00003A000000}"/>
    <cellStyle name="20% - Énfasis4 10 2" xfId="2111" xr:uid="{00000000-0005-0000-0000-00008D020000}"/>
    <cellStyle name="20% - Énfasis4 11" xfId="722" xr:uid="{00000000-0005-0000-0000-00003B000000}"/>
    <cellStyle name="20% - Énfasis4 12" xfId="828" xr:uid="{00000000-0005-0000-0000-00003A030000}"/>
    <cellStyle name="20% - Énfasis4 13" xfId="946" xr:uid="{00000000-0005-0000-0000-0000B6030000}"/>
    <cellStyle name="20% - Énfasis4 14" xfId="1117" xr:uid="{00000000-0005-0000-0000-000052040000}"/>
    <cellStyle name="20% - Énfasis4 15" xfId="1383" xr:uid="{00000000-0005-0000-0000-000064050000}"/>
    <cellStyle name="20% - Énfasis4 16" xfId="1405" xr:uid="{00000000-0005-0000-0000-00007C050000}"/>
    <cellStyle name="20% - Énfasis4 17" xfId="2430" xr:uid="{BAF00017-0CA6-4B2C-86D1-E7C2D8706747}"/>
    <cellStyle name="20% - Énfasis4 2" xfId="73" xr:uid="{00000000-0005-0000-0000-00003C000000}"/>
    <cellStyle name="20% - Énfasis4 2 2" xfId="1528" xr:uid="{00000000-0005-0000-0000-000045000000}"/>
    <cellStyle name="20% - Énfasis4 3" xfId="74" xr:uid="{00000000-0005-0000-0000-00003D000000}"/>
    <cellStyle name="20% - Énfasis4 3 2" xfId="972" xr:uid="{00000000-0005-0000-0000-000011000000}"/>
    <cellStyle name="20% - Énfasis4 3 3" xfId="1529" xr:uid="{00000000-0005-0000-0000-000046000000}"/>
    <cellStyle name="20% - Énfasis4 4" xfId="267" xr:uid="{00000000-0005-0000-0000-00003E000000}"/>
    <cellStyle name="20% - Énfasis4 4 2" xfId="496" xr:uid="{00000000-0005-0000-0000-00003F000000}"/>
    <cellStyle name="20% - Énfasis4 4 2 2" xfId="1311" xr:uid="{00000000-0005-0000-0000-000024000000}"/>
    <cellStyle name="20% - Énfasis4 4 2 3" xfId="1948" xr:uid="{00000000-0005-0000-0000-0000EA010000}"/>
    <cellStyle name="20% - Énfasis4 4 2 4" xfId="2345" xr:uid="{00000000-0005-0000-0000-000024000000}"/>
    <cellStyle name="20% - Énfasis4 4 2 5" xfId="2611" xr:uid="{1C0DC70A-F1A3-4238-BA4C-0ECBD3EDD420}"/>
    <cellStyle name="20% - Énfasis4 4 3" xfId="732" xr:uid="{00000000-0005-0000-0000-000040000000}"/>
    <cellStyle name="20% - Énfasis4 4 4" xfId="886" xr:uid="{00000000-0005-0000-0000-000018000000}"/>
    <cellStyle name="20% - Énfasis4 4 5" xfId="1181" xr:uid="{00000000-0005-0000-0000-000018000000}"/>
    <cellStyle name="20% - Énfasis4 4 6" xfId="1447" xr:uid="{00000000-0005-0000-0000-000018000000}"/>
    <cellStyle name="20% - Énfasis4 4 7" xfId="1720" xr:uid="{00000000-0005-0000-0000-000005010000}"/>
    <cellStyle name="20% - Énfasis4 4 8" xfId="2222" xr:uid="{00000000-0005-0000-0000-000023000000}"/>
    <cellStyle name="20% - Énfasis4 4 9" xfId="2477" xr:uid="{10CF0EA2-C245-403B-90FD-EA635A287B29}"/>
    <cellStyle name="20% - Énfasis4 5" xfId="290" xr:uid="{00000000-0005-0000-0000-000041000000}"/>
    <cellStyle name="20% - Énfasis4 5 2" xfId="519" xr:uid="{00000000-0005-0000-0000-000042000000}"/>
    <cellStyle name="20% - Énfasis4 5 2 2" xfId="1332" xr:uid="{00000000-0005-0000-0000-000026000000}"/>
    <cellStyle name="20% - Énfasis4 5 2 3" xfId="1971" xr:uid="{00000000-0005-0000-0000-000001020000}"/>
    <cellStyle name="20% - Énfasis4 5 2 4" xfId="2368" xr:uid="{00000000-0005-0000-0000-000026000000}"/>
    <cellStyle name="20% - Énfasis4 5 2 5" xfId="2632" xr:uid="{FD7E443A-1F28-4D4B-85F4-63885B8D5F1E}"/>
    <cellStyle name="20% - Énfasis4 5 3" xfId="909" xr:uid="{00000000-0005-0000-0000-000019000000}"/>
    <cellStyle name="20% - Énfasis4 5 4" xfId="1204" xr:uid="{00000000-0005-0000-0000-000019000000}"/>
    <cellStyle name="20% - Énfasis4 5 5" xfId="1470" xr:uid="{00000000-0005-0000-0000-000019000000}"/>
    <cellStyle name="20% - Énfasis4 5 6" xfId="1743" xr:uid="{00000000-0005-0000-0000-00001C010000}"/>
    <cellStyle name="20% - Énfasis4 5 7" xfId="2245" xr:uid="{00000000-0005-0000-0000-000025000000}"/>
    <cellStyle name="20% - Énfasis4 5 8" xfId="2500" xr:uid="{BDD38F76-3F7F-42E7-BF44-B43C84B2B207}"/>
    <cellStyle name="20% - Énfasis4 6" xfId="321" xr:uid="{00000000-0005-0000-0000-000043000000}"/>
    <cellStyle name="20% - Énfasis4 6 2" xfId="549" xr:uid="{00000000-0005-0000-0000-000044000000}"/>
    <cellStyle name="20% - Énfasis4 6 2 2" xfId="1362" xr:uid="{00000000-0005-0000-0000-000028000000}"/>
    <cellStyle name="20% - Énfasis4 6 2 3" xfId="2001" xr:uid="{00000000-0005-0000-0000-00001F020000}"/>
    <cellStyle name="20% - Énfasis4 6 2 4" xfId="2398" xr:uid="{00000000-0005-0000-0000-000028000000}"/>
    <cellStyle name="20% - Énfasis4 6 2 5" xfId="2657" xr:uid="{F4A0B39D-ADEC-41E7-8BD3-2DFEDC91F24F}"/>
    <cellStyle name="20% - Énfasis4 6 3" xfId="1242" xr:uid="{00000000-0005-0000-0000-000027000000}"/>
    <cellStyle name="20% - Énfasis4 6 4" xfId="1773" xr:uid="{00000000-0005-0000-0000-00003B010000}"/>
    <cellStyle name="20% - Énfasis4 6 5" xfId="2275" xr:uid="{00000000-0005-0000-0000-000027000000}"/>
    <cellStyle name="20% - Énfasis4 6 6" xfId="2544" xr:uid="{4BFD68C2-DCC9-469D-B9E9-F83BC9278649}"/>
    <cellStyle name="20% - Énfasis4 7" xfId="339" xr:uid="{00000000-0005-0000-0000-000045000000}"/>
    <cellStyle name="20% - Énfasis4 7 2" xfId="566" xr:uid="{00000000-0005-0000-0000-000046000000}"/>
    <cellStyle name="20% - Énfasis4 7 2 2" xfId="2018" xr:uid="{00000000-0005-0000-0000-000030020000}"/>
    <cellStyle name="20% - Énfasis4 7 3" xfId="1257" xr:uid="{00000000-0005-0000-0000-000029000000}"/>
    <cellStyle name="20% - Énfasis4 7 4" xfId="1791" xr:uid="{00000000-0005-0000-0000-00004D010000}"/>
    <cellStyle name="20% - Énfasis4 7 5" xfId="2293" xr:uid="{00000000-0005-0000-0000-000029000000}"/>
    <cellStyle name="20% - Énfasis4 7 6" xfId="2559" xr:uid="{331454A7-8D70-4182-8CEC-A4FD67229E75}"/>
    <cellStyle name="20% - Énfasis4 8" xfId="373" xr:uid="{00000000-0005-0000-0000-000047000000}"/>
    <cellStyle name="20% - Énfasis4 8 2" xfId="600" xr:uid="{00000000-0005-0000-0000-000048000000}"/>
    <cellStyle name="20% - Énfasis4 8 2 2" xfId="2052" xr:uid="{00000000-0005-0000-0000-000052020000}"/>
    <cellStyle name="20% - Énfasis4 8 3" xfId="1825" xr:uid="{00000000-0005-0000-0000-00006F010000}"/>
    <cellStyle name="20% - Énfasis4 9" xfId="437" xr:uid="{00000000-0005-0000-0000-000049000000}"/>
    <cellStyle name="20% - Énfasis4 9 2" xfId="1889" xr:uid="{00000000-0005-0000-0000-0000AF010000}"/>
    <cellStyle name="20% - Énfasis5" xfId="59" builtinId="46" customBuiltin="1"/>
    <cellStyle name="20% - Énfasis5 10" xfId="661" xr:uid="{00000000-0005-0000-0000-00004B000000}"/>
    <cellStyle name="20% - Énfasis5 10 2" xfId="2113" xr:uid="{00000000-0005-0000-0000-00008F020000}"/>
    <cellStyle name="20% - Énfasis5 11" xfId="724" xr:uid="{00000000-0005-0000-0000-00004C000000}"/>
    <cellStyle name="20% - Énfasis5 12" xfId="830" xr:uid="{00000000-0005-0000-0000-00003D030000}"/>
    <cellStyle name="20% - Énfasis5 13" xfId="948" xr:uid="{00000000-0005-0000-0000-0000B8030000}"/>
    <cellStyle name="20% - Énfasis5 14" xfId="1119" xr:uid="{00000000-0005-0000-0000-000055040000}"/>
    <cellStyle name="20% - Énfasis5 15" xfId="1385" xr:uid="{00000000-0005-0000-0000-000065050000}"/>
    <cellStyle name="20% - Énfasis5 16" xfId="1407" xr:uid="{00000000-0005-0000-0000-00007F050000}"/>
    <cellStyle name="20% - Énfasis5 17" xfId="2432" xr:uid="{C30DD8A6-F0A3-427C-80BE-2F496DA2B31A}"/>
    <cellStyle name="20% - Énfasis5 2" xfId="75" xr:uid="{00000000-0005-0000-0000-00004D000000}"/>
    <cellStyle name="20% - Énfasis5 2 2" xfId="1530" xr:uid="{00000000-0005-0000-0000-000047000000}"/>
    <cellStyle name="20% - Énfasis5 3" xfId="76" xr:uid="{00000000-0005-0000-0000-00004E000000}"/>
    <cellStyle name="20% - Énfasis5 3 2" xfId="973" xr:uid="{00000000-0005-0000-0000-000014000000}"/>
    <cellStyle name="20% - Énfasis5 3 3" xfId="1531" xr:uid="{00000000-0005-0000-0000-000048000000}"/>
    <cellStyle name="20% - Énfasis5 4" xfId="268" xr:uid="{00000000-0005-0000-0000-00004F000000}"/>
    <cellStyle name="20% - Énfasis5 4 2" xfId="497" xr:uid="{00000000-0005-0000-0000-000050000000}"/>
    <cellStyle name="20% - Énfasis5 4 2 2" xfId="1312" xr:uid="{00000000-0005-0000-0000-00002D000000}"/>
    <cellStyle name="20% - Énfasis5 4 2 3" xfId="1949" xr:uid="{00000000-0005-0000-0000-0000EB010000}"/>
    <cellStyle name="20% - Énfasis5 4 2 4" xfId="2346" xr:uid="{00000000-0005-0000-0000-00002D000000}"/>
    <cellStyle name="20% - Énfasis5 4 2 5" xfId="2612" xr:uid="{59CEFED9-902F-4127-A316-8FF9BF0484EA}"/>
    <cellStyle name="20% - Énfasis5 4 3" xfId="733" xr:uid="{00000000-0005-0000-0000-000051000000}"/>
    <cellStyle name="20% - Énfasis5 4 4" xfId="887" xr:uid="{00000000-0005-0000-0000-00001D000000}"/>
    <cellStyle name="20% - Énfasis5 4 5" xfId="1182" xr:uid="{00000000-0005-0000-0000-00001D000000}"/>
    <cellStyle name="20% - Énfasis5 4 6" xfId="1448" xr:uid="{00000000-0005-0000-0000-00001D000000}"/>
    <cellStyle name="20% - Énfasis5 4 7" xfId="1721" xr:uid="{00000000-0005-0000-0000-000006010000}"/>
    <cellStyle name="20% - Énfasis5 4 8" xfId="2223" xr:uid="{00000000-0005-0000-0000-00002C000000}"/>
    <cellStyle name="20% - Énfasis5 4 9" xfId="2478" xr:uid="{4849F257-2451-479E-BA0C-F7093DB33684}"/>
    <cellStyle name="20% - Énfasis5 5" xfId="291" xr:uid="{00000000-0005-0000-0000-000052000000}"/>
    <cellStyle name="20% - Énfasis5 5 2" xfId="520" xr:uid="{00000000-0005-0000-0000-000053000000}"/>
    <cellStyle name="20% - Énfasis5 5 2 2" xfId="1333" xr:uid="{00000000-0005-0000-0000-00002F000000}"/>
    <cellStyle name="20% - Énfasis5 5 2 3" xfId="1972" xr:uid="{00000000-0005-0000-0000-000002020000}"/>
    <cellStyle name="20% - Énfasis5 5 2 4" xfId="2369" xr:uid="{00000000-0005-0000-0000-00002F000000}"/>
    <cellStyle name="20% - Énfasis5 5 2 5" xfId="2633" xr:uid="{F4AF445B-1DA3-4C17-9B88-4DD82F82EFA2}"/>
    <cellStyle name="20% - Énfasis5 5 3" xfId="910" xr:uid="{00000000-0005-0000-0000-00001E000000}"/>
    <cellStyle name="20% - Énfasis5 5 4" xfId="1205" xr:uid="{00000000-0005-0000-0000-00001E000000}"/>
    <cellStyle name="20% - Énfasis5 5 5" xfId="1471" xr:uid="{00000000-0005-0000-0000-00001E000000}"/>
    <cellStyle name="20% - Énfasis5 5 6" xfId="1744" xr:uid="{00000000-0005-0000-0000-00001D010000}"/>
    <cellStyle name="20% - Énfasis5 5 7" xfId="2246" xr:uid="{00000000-0005-0000-0000-00002E000000}"/>
    <cellStyle name="20% - Énfasis5 5 8" xfId="2501" xr:uid="{CE9E3346-CAB2-4708-8587-4C067227A73D}"/>
    <cellStyle name="20% - Énfasis5 6" xfId="323" xr:uid="{00000000-0005-0000-0000-000054000000}"/>
    <cellStyle name="20% - Énfasis5 6 2" xfId="551" xr:uid="{00000000-0005-0000-0000-000055000000}"/>
    <cellStyle name="20% - Énfasis5 6 2 2" xfId="1364" xr:uid="{00000000-0005-0000-0000-000031000000}"/>
    <cellStyle name="20% - Énfasis5 6 2 3" xfId="2003" xr:uid="{00000000-0005-0000-0000-000021020000}"/>
    <cellStyle name="20% - Énfasis5 6 2 4" xfId="2400" xr:uid="{00000000-0005-0000-0000-000031000000}"/>
    <cellStyle name="20% - Énfasis5 6 2 5" xfId="2659" xr:uid="{73C52E1B-30EC-4855-8AA8-33C5563DABF8}"/>
    <cellStyle name="20% - Énfasis5 6 3" xfId="1244" xr:uid="{00000000-0005-0000-0000-000030000000}"/>
    <cellStyle name="20% - Énfasis5 6 4" xfId="1775" xr:uid="{00000000-0005-0000-0000-00003D010000}"/>
    <cellStyle name="20% - Énfasis5 6 5" xfId="2277" xr:uid="{00000000-0005-0000-0000-000030000000}"/>
    <cellStyle name="20% - Énfasis5 6 6" xfId="2546" xr:uid="{6254A55C-7054-4C5A-B3B3-6C1C87F244FC}"/>
    <cellStyle name="20% - Énfasis5 7" xfId="341" xr:uid="{00000000-0005-0000-0000-000056000000}"/>
    <cellStyle name="20% - Énfasis5 7 2" xfId="568" xr:uid="{00000000-0005-0000-0000-000057000000}"/>
    <cellStyle name="20% - Énfasis5 7 2 2" xfId="2020" xr:uid="{00000000-0005-0000-0000-000032020000}"/>
    <cellStyle name="20% - Énfasis5 7 3" xfId="1259" xr:uid="{00000000-0005-0000-0000-000032000000}"/>
    <cellStyle name="20% - Énfasis5 7 4" xfId="1793" xr:uid="{00000000-0005-0000-0000-00004F010000}"/>
    <cellStyle name="20% - Énfasis5 7 5" xfId="2295" xr:uid="{00000000-0005-0000-0000-000032000000}"/>
    <cellStyle name="20% - Énfasis5 7 6" xfId="2561" xr:uid="{A6E8067B-79AC-4F8B-88E6-EB3A84094D17}"/>
    <cellStyle name="20% - Énfasis5 8" xfId="375" xr:uid="{00000000-0005-0000-0000-000058000000}"/>
    <cellStyle name="20% - Énfasis5 8 2" xfId="602" xr:uid="{00000000-0005-0000-0000-000059000000}"/>
    <cellStyle name="20% - Énfasis5 8 2 2" xfId="2054" xr:uid="{00000000-0005-0000-0000-000054020000}"/>
    <cellStyle name="20% - Énfasis5 8 3" xfId="1827" xr:uid="{00000000-0005-0000-0000-000071010000}"/>
    <cellStyle name="20% - Énfasis5 9" xfId="439" xr:uid="{00000000-0005-0000-0000-00005A000000}"/>
    <cellStyle name="20% - Énfasis5 9 2" xfId="1891" xr:uid="{00000000-0005-0000-0000-0000B1010000}"/>
    <cellStyle name="20% - Énfasis6" xfId="63" builtinId="50" customBuiltin="1"/>
    <cellStyle name="20% - Énfasis6 10" xfId="663" xr:uid="{00000000-0005-0000-0000-00005C000000}"/>
    <cellStyle name="20% - Énfasis6 10 2" xfId="2115" xr:uid="{00000000-0005-0000-0000-000091020000}"/>
    <cellStyle name="20% - Énfasis6 11" xfId="726" xr:uid="{00000000-0005-0000-0000-00005D000000}"/>
    <cellStyle name="20% - Énfasis6 12" xfId="832" xr:uid="{00000000-0005-0000-0000-000040030000}"/>
    <cellStyle name="20% - Énfasis6 13" xfId="950" xr:uid="{00000000-0005-0000-0000-0000BA030000}"/>
    <cellStyle name="20% - Énfasis6 14" xfId="1121" xr:uid="{00000000-0005-0000-0000-000058040000}"/>
    <cellStyle name="20% - Énfasis6 15" xfId="1387" xr:uid="{00000000-0005-0000-0000-000066050000}"/>
    <cellStyle name="20% - Énfasis6 16" xfId="1409" xr:uid="{00000000-0005-0000-0000-000082050000}"/>
    <cellStyle name="20% - Énfasis6 17" xfId="2434" xr:uid="{EFC45DD3-2112-46F4-9B0D-1137B7BF145F}"/>
    <cellStyle name="20% - Énfasis6 2" xfId="77" xr:uid="{00000000-0005-0000-0000-00005E000000}"/>
    <cellStyle name="20% - Énfasis6 2 2" xfId="1532" xr:uid="{00000000-0005-0000-0000-000049000000}"/>
    <cellStyle name="20% - Énfasis6 3" xfId="78" xr:uid="{00000000-0005-0000-0000-00005F000000}"/>
    <cellStyle name="20% - Énfasis6 3 2" xfId="974" xr:uid="{00000000-0005-0000-0000-000017000000}"/>
    <cellStyle name="20% - Énfasis6 3 3" xfId="1533" xr:uid="{00000000-0005-0000-0000-00004A000000}"/>
    <cellStyle name="20% - Énfasis6 4" xfId="269" xr:uid="{00000000-0005-0000-0000-000060000000}"/>
    <cellStyle name="20% - Énfasis6 4 2" xfId="498" xr:uid="{00000000-0005-0000-0000-000061000000}"/>
    <cellStyle name="20% - Énfasis6 4 2 2" xfId="1313" xr:uid="{00000000-0005-0000-0000-000036000000}"/>
    <cellStyle name="20% - Énfasis6 4 2 3" xfId="1950" xr:uid="{00000000-0005-0000-0000-0000EC010000}"/>
    <cellStyle name="20% - Énfasis6 4 2 4" xfId="2347" xr:uid="{00000000-0005-0000-0000-000036000000}"/>
    <cellStyle name="20% - Énfasis6 4 2 5" xfId="2613" xr:uid="{6578C890-9066-4BFF-918F-957272CD3E21}"/>
    <cellStyle name="20% - Énfasis6 4 3" xfId="734" xr:uid="{00000000-0005-0000-0000-000062000000}"/>
    <cellStyle name="20% - Énfasis6 4 4" xfId="888" xr:uid="{00000000-0005-0000-0000-000022000000}"/>
    <cellStyle name="20% - Énfasis6 4 5" xfId="1183" xr:uid="{00000000-0005-0000-0000-000022000000}"/>
    <cellStyle name="20% - Énfasis6 4 6" xfId="1449" xr:uid="{00000000-0005-0000-0000-000022000000}"/>
    <cellStyle name="20% - Énfasis6 4 7" xfId="1722" xr:uid="{00000000-0005-0000-0000-000007010000}"/>
    <cellStyle name="20% - Énfasis6 4 8" xfId="2224" xr:uid="{00000000-0005-0000-0000-000035000000}"/>
    <cellStyle name="20% - Énfasis6 4 9" xfId="2479" xr:uid="{834CD809-BCF6-4871-99D6-3B9ADBF29093}"/>
    <cellStyle name="20% - Énfasis6 5" xfId="292" xr:uid="{00000000-0005-0000-0000-000063000000}"/>
    <cellStyle name="20% - Énfasis6 5 2" xfId="521" xr:uid="{00000000-0005-0000-0000-000064000000}"/>
    <cellStyle name="20% - Énfasis6 5 2 2" xfId="1334" xr:uid="{00000000-0005-0000-0000-000038000000}"/>
    <cellStyle name="20% - Énfasis6 5 2 3" xfId="1973" xr:uid="{00000000-0005-0000-0000-000003020000}"/>
    <cellStyle name="20% - Énfasis6 5 2 4" xfId="2370" xr:uid="{00000000-0005-0000-0000-000038000000}"/>
    <cellStyle name="20% - Énfasis6 5 2 5" xfId="2634" xr:uid="{62A17615-BAC4-4E22-9DE1-6899D62B35D2}"/>
    <cellStyle name="20% - Énfasis6 5 3" xfId="911" xr:uid="{00000000-0005-0000-0000-000023000000}"/>
    <cellStyle name="20% - Énfasis6 5 4" xfId="1206" xr:uid="{00000000-0005-0000-0000-000023000000}"/>
    <cellStyle name="20% - Énfasis6 5 5" xfId="1472" xr:uid="{00000000-0005-0000-0000-000023000000}"/>
    <cellStyle name="20% - Énfasis6 5 6" xfId="1745" xr:uid="{00000000-0005-0000-0000-00001E010000}"/>
    <cellStyle name="20% - Énfasis6 5 7" xfId="2247" xr:uid="{00000000-0005-0000-0000-000037000000}"/>
    <cellStyle name="20% - Énfasis6 5 8" xfId="2502" xr:uid="{977DA3A9-B555-4AAD-985B-26605DCCD04C}"/>
    <cellStyle name="20% - Énfasis6 6" xfId="325" xr:uid="{00000000-0005-0000-0000-000065000000}"/>
    <cellStyle name="20% - Énfasis6 6 2" xfId="553" xr:uid="{00000000-0005-0000-0000-000066000000}"/>
    <cellStyle name="20% - Énfasis6 6 2 2" xfId="1366" xr:uid="{00000000-0005-0000-0000-00003A000000}"/>
    <cellStyle name="20% - Énfasis6 6 2 3" xfId="2005" xr:uid="{00000000-0005-0000-0000-000023020000}"/>
    <cellStyle name="20% - Énfasis6 6 2 4" xfId="2402" xr:uid="{00000000-0005-0000-0000-00003A000000}"/>
    <cellStyle name="20% - Énfasis6 6 2 5" xfId="2661" xr:uid="{685507EB-CC9C-4779-A10C-34FF238FFBDC}"/>
    <cellStyle name="20% - Énfasis6 6 3" xfId="1246" xr:uid="{00000000-0005-0000-0000-000039000000}"/>
    <cellStyle name="20% - Énfasis6 6 4" xfId="1777" xr:uid="{00000000-0005-0000-0000-00003F010000}"/>
    <cellStyle name="20% - Énfasis6 6 5" xfId="2279" xr:uid="{00000000-0005-0000-0000-000039000000}"/>
    <cellStyle name="20% - Énfasis6 6 6" xfId="2548" xr:uid="{7AB1B9AF-DCB0-47FF-91C3-B9C734592215}"/>
    <cellStyle name="20% - Énfasis6 7" xfId="343" xr:uid="{00000000-0005-0000-0000-000067000000}"/>
    <cellStyle name="20% - Énfasis6 7 2" xfId="570" xr:uid="{00000000-0005-0000-0000-000068000000}"/>
    <cellStyle name="20% - Énfasis6 7 2 2" xfId="2022" xr:uid="{00000000-0005-0000-0000-000034020000}"/>
    <cellStyle name="20% - Énfasis6 7 3" xfId="1261" xr:uid="{00000000-0005-0000-0000-00003B000000}"/>
    <cellStyle name="20% - Énfasis6 7 4" xfId="1795" xr:uid="{00000000-0005-0000-0000-000051010000}"/>
    <cellStyle name="20% - Énfasis6 7 5" xfId="2297" xr:uid="{00000000-0005-0000-0000-00003B000000}"/>
    <cellStyle name="20% - Énfasis6 7 6" xfId="2563" xr:uid="{FA11900E-8ACA-4B82-9212-157BE1CCAB0D}"/>
    <cellStyle name="20% - Énfasis6 8" xfId="377" xr:uid="{00000000-0005-0000-0000-000069000000}"/>
    <cellStyle name="20% - Énfasis6 8 2" xfId="604" xr:uid="{00000000-0005-0000-0000-00006A000000}"/>
    <cellStyle name="20% - Énfasis6 8 2 2" xfId="2056" xr:uid="{00000000-0005-0000-0000-000056020000}"/>
    <cellStyle name="20% - Énfasis6 8 3" xfId="1829" xr:uid="{00000000-0005-0000-0000-000073010000}"/>
    <cellStyle name="20% - Énfasis6 9" xfId="441" xr:uid="{00000000-0005-0000-0000-00006B000000}"/>
    <cellStyle name="20% - Énfasis6 9 2" xfId="1893" xr:uid="{00000000-0005-0000-0000-0000B3010000}"/>
    <cellStyle name="40% - Accent1" xfId="177" xr:uid="{00000000-0005-0000-0000-00006C000000}"/>
    <cellStyle name="40% - Accent1 2" xfId="1098" xr:uid="{00000000-0005-0000-0000-00003C000000}"/>
    <cellStyle name="40% - Accent1 3" xfId="1629" xr:uid="{00000000-0005-0000-0000-0000AA000000}"/>
    <cellStyle name="40% - Accent1 4" xfId="2175" xr:uid="{00000000-0005-0000-0000-00003C000000}"/>
    <cellStyle name="40% - Accent1 5" xfId="2412" xr:uid="{F92A7023-9733-4C92-B951-4D1366329660}"/>
    <cellStyle name="40% - Accent2" xfId="178" xr:uid="{00000000-0005-0000-0000-00006D000000}"/>
    <cellStyle name="40% - Accent2 2" xfId="1100" xr:uid="{00000000-0005-0000-0000-00003D000000}"/>
    <cellStyle name="40% - Accent2 3" xfId="1630" xr:uid="{00000000-0005-0000-0000-0000AB000000}"/>
    <cellStyle name="40% - Accent2 4" xfId="2177" xr:uid="{00000000-0005-0000-0000-00003D000000}"/>
    <cellStyle name="40% - Accent2 5" xfId="2448" xr:uid="{B057014A-72F2-4822-A04F-905A4C14DBE0}"/>
    <cellStyle name="40% - Accent3" xfId="179" xr:uid="{00000000-0005-0000-0000-00006E000000}"/>
    <cellStyle name="40% - Accent3 2" xfId="1130" xr:uid="{00000000-0005-0000-0000-00003E000000}"/>
    <cellStyle name="40% - Accent3 3" xfId="1631" xr:uid="{00000000-0005-0000-0000-0000AC000000}"/>
    <cellStyle name="40% - Accent3 4" xfId="2179" xr:uid="{00000000-0005-0000-0000-00003E000000}"/>
    <cellStyle name="40% - Accent3 5" xfId="2413" xr:uid="{1C497608-EF6C-4A7B-A350-B2DD13EB61B1}"/>
    <cellStyle name="40% - Accent4" xfId="180" xr:uid="{00000000-0005-0000-0000-00006F000000}"/>
    <cellStyle name="40% - Accent4 2" xfId="1142" xr:uid="{00000000-0005-0000-0000-00003F000000}"/>
    <cellStyle name="40% - Accent4 3" xfId="1632" xr:uid="{00000000-0005-0000-0000-0000AD000000}"/>
    <cellStyle name="40% - Accent4 4" xfId="2181" xr:uid="{00000000-0005-0000-0000-00003F000000}"/>
    <cellStyle name="40% - Accent4 5" xfId="2445" xr:uid="{8393B364-814F-4CBD-8DE0-FA15B609ED71}"/>
    <cellStyle name="40% - Accent5" xfId="181" xr:uid="{00000000-0005-0000-0000-000070000000}"/>
    <cellStyle name="40% - Accent5 2" xfId="1140" xr:uid="{00000000-0005-0000-0000-000040000000}"/>
    <cellStyle name="40% - Accent5 3" xfId="1633" xr:uid="{00000000-0005-0000-0000-0000AE000000}"/>
    <cellStyle name="40% - Accent5 4" xfId="2183" xr:uid="{00000000-0005-0000-0000-000040000000}"/>
    <cellStyle name="40% - Accent5 5" xfId="2460" xr:uid="{B7B8E50F-FFCF-4191-A897-9E446585A7FC}"/>
    <cellStyle name="40% - Accent6" xfId="182" xr:uid="{00000000-0005-0000-0000-000071000000}"/>
    <cellStyle name="40% - Accent6 2" xfId="1138" xr:uid="{00000000-0005-0000-0000-000041000000}"/>
    <cellStyle name="40% - Accent6 3" xfId="1634" xr:uid="{00000000-0005-0000-0000-0000AF000000}"/>
    <cellStyle name="40% - Accent6 4" xfId="2185" xr:uid="{00000000-0005-0000-0000-000041000000}"/>
    <cellStyle name="40% - Accent6 5" xfId="2408" xr:uid="{974BD5B1-4810-43D9-A454-EB917EEDC3EA}"/>
    <cellStyle name="40% - Énfasis1" xfId="44" builtinId="31" customBuiltin="1"/>
    <cellStyle name="40% - Énfasis1 10" xfId="654" xr:uid="{00000000-0005-0000-0000-000073000000}"/>
    <cellStyle name="40% - Énfasis1 10 2" xfId="2106" xr:uid="{00000000-0005-0000-0000-000088020000}"/>
    <cellStyle name="40% - Énfasis1 11" xfId="717" xr:uid="{00000000-0005-0000-0000-000074000000}"/>
    <cellStyle name="40% - Énfasis1 12" xfId="823" xr:uid="{00000000-0005-0000-0000-000043030000}"/>
    <cellStyle name="40% - Énfasis1 13" xfId="941" xr:uid="{00000000-0005-0000-0000-0000BC030000}"/>
    <cellStyle name="40% - Énfasis1 14" xfId="1112" xr:uid="{00000000-0005-0000-0000-00005B040000}"/>
    <cellStyle name="40% - Énfasis1 15" xfId="1378" xr:uid="{00000000-0005-0000-0000-000067050000}"/>
    <cellStyle name="40% - Énfasis1 16" xfId="1400" xr:uid="{00000000-0005-0000-0000-000085050000}"/>
    <cellStyle name="40% - Énfasis1 17" xfId="2425" xr:uid="{6B96BB45-EC18-45DF-9926-00E55541FDCD}"/>
    <cellStyle name="40% - Énfasis1 2" xfId="79" xr:uid="{00000000-0005-0000-0000-000075000000}"/>
    <cellStyle name="40% - Énfasis1 2 2" xfId="1534" xr:uid="{00000000-0005-0000-0000-00004B000000}"/>
    <cellStyle name="40% - Énfasis1 3" xfId="80" xr:uid="{00000000-0005-0000-0000-000076000000}"/>
    <cellStyle name="40% - Énfasis1 3 2" xfId="975" xr:uid="{00000000-0005-0000-0000-000020000000}"/>
    <cellStyle name="40% - Énfasis1 3 3" xfId="1535" xr:uid="{00000000-0005-0000-0000-00004C000000}"/>
    <cellStyle name="40% - Énfasis1 4" xfId="270" xr:uid="{00000000-0005-0000-0000-000077000000}"/>
    <cellStyle name="40% - Énfasis1 4 2" xfId="499" xr:uid="{00000000-0005-0000-0000-000078000000}"/>
    <cellStyle name="40% - Énfasis1 4 2 2" xfId="1314" xr:uid="{00000000-0005-0000-0000-000045000000}"/>
    <cellStyle name="40% - Énfasis1 4 2 3" xfId="1951" xr:uid="{00000000-0005-0000-0000-0000ED010000}"/>
    <cellStyle name="40% - Énfasis1 4 2 4" xfId="2348" xr:uid="{00000000-0005-0000-0000-000045000000}"/>
    <cellStyle name="40% - Énfasis1 4 2 5" xfId="2614" xr:uid="{0807C75C-A6E5-442C-96AB-E93C4ACFEA36}"/>
    <cellStyle name="40% - Énfasis1 4 3" xfId="735" xr:uid="{00000000-0005-0000-0000-000079000000}"/>
    <cellStyle name="40% - Énfasis1 4 4" xfId="889" xr:uid="{00000000-0005-0000-0000-00002D000000}"/>
    <cellStyle name="40% - Énfasis1 4 5" xfId="1184" xr:uid="{00000000-0005-0000-0000-00002D000000}"/>
    <cellStyle name="40% - Énfasis1 4 6" xfId="1450" xr:uid="{00000000-0005-0000-0000-00002D000000}"/>
    <cellStyle name="40% - Énfasis1 4 7" xfId="1723" xr:uid="{00000000-0005-0000-0000-000008010000}"/>
    <cellStyle name="40% - Énfasis1 4 8" xfId="2225" xr:uid="{00000000-0005-0000-0000-000044000000}"/>
    <cellStyle name="40% - Énfasis1 4 9" xfId="2480" xr:uid="{4DF0E375-8567-4D9E-8E1C-B23D93CC420E}"/>
    <cellStyle name="40% - Énfasis1 5" xfId="293" xr:uid="{00000000-0005-0000-0000-00007A000000}"/>
    <cellStyle name="40% - Énfasis1 5 2" xfId="522" xr:uid="{00000000-0005-0000-0000-00007B000000}"/>
    <cellStyle name="40% - Énfasis1 5 2 2" xfId="1335" xr:uid="{00000000-0005-0000-0000-000047000000}"/>
    <cellStyle name="40% - Énfasis1 5 2 3" xfId="1974" xr:uid="{00000000-0005-0000-0000-000004020000}"/>
    <cellStyle name="40% - Énfasis1 5 2 4" xfId="2371" xr:uid="{00000000-0005-0000-0000-000047000000}"/>
    <cellStyle name="40% - Énfasis1 5 2 5" xfId="2635" xr:uid="{A702F978-62C7-4CB7-8AFC-E656406511C5}"/>
    <cellStyle name="40% - Énfasis1 5 3" xfId="912" xr:uid="{00000000-0005-0000-0000-00002E000000}"/>
    <cellStyle name="40% - Énfasis1 5 4" xfId="1207" xr:uid="{00000000-0005-0000-0000-00002E000000}"/>
    <cellStyle name="40% - Énfasis1 5 5" xfId="1473" xr:uid="{00000000-0005-0000-0000-00002E000000}"/>
    <cellStyle name="40% - Énfasis1 5 6" xfId="1746" xr:uid="{00000000-0005-0000-0000-00001F010000}"/>
    <cellStyle name="40% - Énfasis1 5 7" xfId="2248" xr:uid="{00000000-0005-0000-0000-000046000000}"/>
    <cellStyle name="40% - Énfasis1 5 8" xfId="2503" xr:uid="{5A8CB3E0-5A70-4D6E-8944-2BBF0666C50C}"/>
    <cellStyle name="40% - Énfasis1 6" xfId="316" xr:uid="{00000000-0005-0000-0000-00007C000000}"/>
    <cellStyle name="40% - Énfasis1 6 2" xfId="544" xr:uid="{00000000-0005-0000-0000-00007D000000}"/>
    <cellStyle name="40% - Énfasis1 6 2 2" xfId="1357" xr:uid="{00000000-0005-0000-0000-000049000000}"/>
    <cellStyle name="40% - Énfasis1 6 2 3" xfId="1996" xr:uid="{00000000-0005-0000-0000-00001A020000}"/>
    <cellStyle name="40% - Énfasis1 6 2 4" xfId="2393" xr:uid="{00000000-0005-0000-0000-000049000000}"/>
    <cellStyle name="40% - Énfasis1 6 2 5" xfId="2652" xr:uid="{76568097-50B8-4666-B22F-0D47EEDC9EC4}"/>
    <cellStyle name="40% - Énfasis1 6 3" xfId="1237" xr:uid="{00000000-0005-0000-0000-000048000000}"/>
    <cellStyle name="40% - Énfasis1 6 4" xfId="1768" xr:uid="{00000000-0005-0000-0000-000036010000}"/>
    <cellStyle name="40% - Énfasis1 6 5" xfId="2270" xr:uid="{00000000-0005-0000-0000-000048000000}"/>
    <cellStyle name="40% - Énfasis1 6 6" xfId="2539" xr:uid="{3E69ED26-2BC6-4991-9A84-4CF8D51ED04B}"/>
    <cellStyle name="40% - Énfasis1 7" xfId="334" xr:uid="{00000000-0005-0000-0000-00007E000000}"/>
    <cellStyle name="40% - Énfasis1 7 2" xfId="561" xr:uid="{00000000-0005-0000-0000-00007F000000}"/>
    <cellStyle name="40% - Énfasis1 7 2 2" xfId="2013" xr:uid="{00000000-0005-0000-0000-00002B020000}"/>
    <cellStyle name="40% - Énfasis1 7 3" xfId="1252" xr:uid="{00000000-0005-0000-0000-00004A000000}"/>
    <cellStyle name="40% - Énfasis1 7 4" xfId="1786" xr:uid="{00000000-0005-0000-0000-000048010000}"/>
    <cellStyle name="40% - Énfasis1 7 5" xfId="2288" xr:uid="{00000000-0005-0000-0000-00004A000000}"/>
    <cellStyle name="40% - Énfasis1 7 6" xfId="2554" xr:uid="{04590F28-09FB-46CB-81F7-576A7982F6CE}"/>
    <cellStyle name="40% - Énfasis1 8" xfId="368" xr:uid="{00000000-0005-0000-0000-000080000000}"/>
    <cellStyle name="40% - Énfasis1 8 2" xfId="595" xr:uid="{00000000-0005-0000-0000-000081000000}"/>
    <cellStyle name="40% - Énfasis1 8 2 2" xfId="2047" xr:uid="{00000000-0005-0000-0000-00004D020000}"/>
    <cellStyle name="40% - Énfasis1 8 3" xfId="1820" xr:uid="{00000000-0005-0000-0000-00006A010000}"/>
    <cellStyle name="40% - Énfasis1 9" xfId="432" xr:uid="{00000000-0005-0000-0000-000082000000}"/>
    <cellStyle name="40% - Énfasis1 9 2" xfId="1884" xr:uid="{00000000-0005-0000-0000-0000AA010000}"/>
    <cellStyle name="40% - Énfasis2" xfId="48" builtinId="35" customBuiltin="1"/>
    <cellStyle name="40% - Énfasis2 10" xfId="656" xr:uid="{00000000-0005-0000-0000-000084000000}"/>
    <cellStyle name="40% - Énfasis2 10 2" xfId="2108" xr:uid="{00000000-0005-0000-0000-00008A020000}"/>
    <cellStyle name="40% - Énfasis2 11" xfId="719" xr:uid="{00000000-0005-0000-0000-000085000000}"/>
    <cellStyle name="40% - Énfasis2 12" xfId="825" xr:uid="{00000000-0005-0000-0000-000046030000}"/>
    <cellStyle name="40% - Énfasis2 13" xfId="943" xr:uid="{00000000-0005-0000-0000-0000BE030000}"/>
    <cellStyle name="40% - Énfasis2 14" xfId="1114" xr:uid="{00000000-0005-0000-0000-00005E040000}"/>
    <cellStyle name="40% - Énfasis2 15" xfId="1380" xr:uid="{00000000-0005-0000-0000-000068050000}"/>
    <cellStyle name="40% - Énfasis2 16" xfId="1402" xr:uid="{00000000-0005-0000-0000-000088050000}"/>
    <cellStyle name="40% - Énfasis2 17" xfId="2427" xr:uid="{0DEFCF4C-4E73-4879-905F-5BA50BEAC179}"/>
    <cellStyle name="40% - Énfasis2 2" xfId="81" xr:uid="{00000000-0005-0000-0000-000086000000}"/>
    <cellStyle name="40% - Énfasis2 2 2" xfId="1536" xr:uid="{00000000-0005-0000-0000-00004D000000}"/>
    <cellStyle name="40% - Énfasis2 3" xfId="82" xr:uid="{00000000-0005-0000-0000-000087000000}"/>
    <cellStyle name="40% - Énfasis2 3 2" xfId="976" xr:uid="{00000000-0005-0000-0000-000023000000}"/>
    <cellStyle name="40% - Énfasis2 3 3" xfId="1537" xr:uid="{00000000-0005-0000-0000-00004E000000}"/>
    <cellStyle name="40% - Énfasis2 4" xfId="271" xr:uid="{00000000-0005-0000-0000-000088000000}"/>
    <cellStyle name="40% - Énfasis2 4 2" xfId="500" xr:uid="{00000000-0005-0000-0000-000089000000}"/>
    <cellStyle name="40% - Énfasis2 4 2 2" xfId="1315" xr:uid="{00000000-0005-0000-0000-00004E000000}"/>
    <cellStyle name="40% - Énfasis2 4 2 3" xfId="1952" xr:uid="{00000000-0005-0000-0000-0000EE010000}"/>
    <cellStyle name="40% - Énfasis2 4 2 4" xfId="2349" xr:uid="{00000000-0005-0000-0000-00004E000000}"/>
    <cellStyle name="40% - Énfasis2 4 2 5" xfId="2615" xr:uid="{C42DF3CC-2132-4A24-BAC6-2DA39B7186BA}"/>
    <cellStyle name="40% - Énfasis2 4 3" xfId="736" xr:uid="{00000000-0005-0000-0000-00008A000000}"/>
    <cellStyle name="40% - Énfasis2 4 4" xfId="890" xr:uid="{00000000-0005-0000-0000-000032000000}"/>
    <cellStyle name="40% - Énfasis2 4 5" xfId="1185" xr:uid="{00000000-0005-0000-0000-000032000000}"/>
    <cellStyle name="40% - Énfasis2 4 6" xfId="1451" xr:uid="{00000000-0005-0000-0000-000032000000}"/>
    <cellStyle name="40% - Énfasis2 4 7" xfId="1724" xr:uid="{00000000-0005-0000-0000-000009010000}"/>
    <cellStyle name="40% - Énfasis2 4 8" xfId="2226" xr:uid="{00000000-0005-0000-0000-00004D000000}"/>
    <cellStyle name="40% - Énfasis2 4 9" xfId="2481" xr:uid="{8B818F37-1015-466E-80E3-8354A0B160C8}"/>
    <cellStyle name="40% - Énfasis2 5" xfId="294" xr:uid="{00000000-0005-0000-0000-00008B000000}"/>
    <cellStyle name="40% - Énfasis2 5 2" xfId="523" xr:uid="{00000000-0005-0000-0000-00008C000000}"/>
    <cellStyle name="40% - Énfasis2 5 2 2" xfId="1336" xr:uid="{00000000-0005-0000-0000-000050000000}"/>
    <cellStyle name="40% - Énfasis2 5 2 3" xfId="1975" xr:uid="{00000000-0005-0000-0000-000005020000}"/>
    <cellStyle name="40% - Énfasis2 5 2 4" xfId="2372" xr:uid="{00000000-0005-0000-0000-000050000000}"/>
    <cellStyle name="40% - Énfasis2 5 2 5" xfId="2636" xr:uid="{396F937F-431C-4C21-B1DE-788A66392C35}"/>
    <cellStyle name="40% - Énfasis2 5 3" xfId="913" xr:uid="{00000000-0005-0000-0000-000033000000}"/>
    <cellStyle name="40% - Énfasis2 5 4" xfId="1208" xr:uid="{00000000-0005-0000-0000-000033000000}"/>
    <cellStyle name="40% - Énfasis2 5 5" xfId="1474" xr:uid="{00000000-0005-0000-0000-000033000000}"/>
    <cellStyle name="40% - Énfasis2 5 6" xfId="1747" xr:uid="{00000000-0005-0000-0000-000020010000}"/>
    <cellStyle name="40% - Énfasis2 5 7" xfId="2249" xr:uid="{00000000-0005-0000-0000-00004F000000}"/>
    <cellStyle name="40% - Énfasis2 5 8" xfId="2504" xr:uid="{9F555C76-F92D-40FB-ACA3-6CA8D7D9D4C5}"/>
    <cellStyle name="40% - Énfasis2 6" xfId="318" xr:uid="{00000000-0005-0000-0000-00008D000000}"/>
    <cellStyle name="40% - Énfasis2 6 2" xfId="546" xr:uid="{00000000-0005-0000-0000-00008E000000}"/>
    <cellStyle name="40% - Énfasis2 6 2 2" xfId="1359" xr:uid="{00000000-0005-0000-0000-000052000000}"/>
    <cellStyle name="40% - Énfasis2 6 2 3" xfId="1998" xr:uid="{00000000-0005-0000-0000-00001C020000}"/>
    <cellStyle name="40% - Énfasis2 6 2 4" xfId="2395" xr:uid="{00000000-0005-0000-0000-000052000000}"/>
    <cellStyle name="40% - Énfasis2 6 2 5" xfId="2654" xr:uid="{BB153FEE-DF70-4BF3-839E-EB1284E61CD8}"/>
    <cellStyle name="40% - Énfasis2 6 3" xfId="1239" xr:uid="{00000000-0005-0000-0000-000051000000}"/>
    <cellStyle name="40% - Énfasis2 6 4" xfId="1770" xr:uid="{00000000-0005-0000-0000-000038010000}"/>
    <cellStyle name="40% - Énfasis2 6 5" xfId="2272" xr:uid="{00000000-0005-0000-0000-000051000000}"/>
    <cellStyle name="40% - Énfasis2 6 6" xfId="2541" xr:uid="{81742FC7-004F-4879-BC36-89DDFD3C0715}"/>
    <cellStyle name="40% - Énfasis2 7" xfId="336" xr:uid="{00000000-0005-0000-0000-00008F000000}"/>
    <cellStyle name="40% - Énfasis2 7 2" xfId="563" xr:uid="{00000000-0005-0000-0000-000090000000}"/>
    <cellStyle name="40% - Énfasis2 7 2 2" xfId="2015" xr:uid="{00000000-0005-0000-0000-00002D020000}"/>
    <cellStyle name="40% - Énfasis2 7 3" xfId="1254" xr:uid="{00000000-0005-0000-0000-000053000000}"/>
    <cellStyle name="40% - Énfasis2 7 4" xfId="1788" xr:uid="{00000000-0005-0000-0000-00004A010000}"/>
    <cellStyle name="40% - Énfasis2 7 5" xfId="2290" xr:uid="{00000000-0005-0000-0000-000053000000}"/>
    <cellStyle name="40% - Énfasis2 7 6" xfId="2556" xr:uid="{5148BDC5-1FED-4159-8900-73CD1D4FD8CB}"/>
    <cellStyle name="40% - Énfasis2 8" xfId="370" xr:uid="{00000000-0005-0000-0000-000091000000}"/>
    <cellStyle name="40% - Énfasis2 8 2" xfId="597" xr:uid="{00000000-0005-0000-0000-000092000000}"/>
    <cellStyle name="40% - Énfasis2 8 2 2" xfId="2049" xr:uid="{00000000-0005-0000-0000-00004F020000}"/>
    <cellStyle name="40% - Énfasis2 8 3" xfId="1822" xr:uid="{00000000-0005-0000-0000-00006C010000}"/>
    <cellStyle name="40% - Énfasis2 9" xfId="434" xr:uid="{00000000-0005-0000-0000-000093000000}"/>
    <cellStyle name="40% - Énfasis2 9 2" xfId="1886" xr:uid="{00000000-0005-0000-0000-0000AC010000}"/>
    <cellStyle name="40% - Énfasis3" xfId="52" builtinId="39" customBuiltin="1"/>
    <cellStyle name="40% - Énfasis3 10" xfId="658" xr:uid="{00000000-0005-0000-0000-000095000000}"/>
    <cellStyle name="40% - Énfasis3 10 2" xfId="2110" xr:uid="{00000000-0005-0000-0000-00008C020000}"/>
    <cellStyle name="40% - Énfasis3 11" xfId="721" xr:uid="{00000000-0005-0000-0000-000096000000}"/>
    <cellStyle name="40% - Énfasis3 12" xfId="827" xr:uid="{00000000-0005-0000-0000-000049030000}"/>
    <cellStyle name="40% - Énfasis3 13" xfId="945" xr:uid="{00000000-0005-0000-0000-0000C0030000}"/>
    <cellStyle name="40% - Énfasis3 14" xfId="1116" xr:uid="{00000000-0005-0000-0000-000061040000}"/>
    <cellStyle name="40% - Énfasis3 15" xfId="1382" xr:uid="{00000000-0005-0000-0000-000069050000}"/>
    <cellStyle name="40% - Énfasis3 16" xfId="1404" xr:uid="{00000000-0005-0000-0000-00008B050000}"/>
    <cellStyle name="40% - Énfasis3 17" xfId="2429" xr:uid="{F490B564-1355-49F0-A8A9-49E7C4BE2AB6}"/>
    <cellStyle name="40% - Énfasis3 2" xfId="83" xr:uid="{00000000-0005-0000-0000-000097000000}"/>
    <cellStyle name="40% - Énfasis3 2 2" xfId="1538" xr:uid="{00000000-0005-0000-0000-00004F000000}"/>
    <cellStyle name="40% - Énfasis3 3" xfId="84" xr:uid="{00000000-0005-0000-0000-000098000000}"/>
    <cellStyle name="40% - Énfasis3 3 2" xfId="977" xr:uid="{00000000-0005-0000-0000-000026000000}"/>
    <cellStyle name="40% - Énfasis3 3 3" xfId="1539" xr:uid="{00000000-0005-0000-0000-000050000000}"/>
    <cellStyle name="40% - Énfasis3 4" xfId="272" xr:uid="{00000000-0005-0000-0000-000099000000}"/>
    <cellStyle name="40% - Énfasis3 4 2" xfId="501" xr:uid="{00000000-0005-0000-0000-00009A000000}"/>
    <cellStyle name="40% - Énfasis3 4 2 2" xfId="1316" xr:uid="{00000000-0005-0000-0000-000057000000}"/>
    <cellStyle name="40% - Énfasis3 4 2 3" xfId="1953" xr:uid="{00000000-0005-0000-0000-0000EF010000}"/>
    <cellStyle name="40% - Énfasis3 4 2 4" xfId="2350" xr:uid="{00000000-0005-0000-0000-000057000000}"/>
    <cellStyle name="40% - Énfasis3 4 2 5" xfId="2616" xr:uid="{DB1BA49D-9816-4058-8817-0B283A9DC99E}"/>
    <cellStyle name="40% - Énfasis3 4 3" xfId="737" xr:uid="{00000000-0005-0000-0000-00009B000000}"/>
    <cellStyle name="40% - Énfasis3 4 4" xfId="891" xr:uid="{00000000-0005-0000-0000-000037000000}"/>
    <cellStyle name="40% - Énfasis3 4 5" xfId="1186" xr:uid="{00000000-0005-0000-0000-000037000000}"/>
    <cellStyle name="40% - Énfasis3 4 6" xfId="1452" xr:uid="{00000000-0005-0000-0000-000037000000}"/>
    <cellStyle name="40% - Énfasis3 4 7" xfId="1725" xr:uid="{00000000-0005-0000-0000-00000A010000}"/>
    <cellStyle name="40% - Énfasis3 4 8" xfId="2227" xr:uid="{00000000-0005-0000-0000-000056000000}"/>
    <cellStyle name="40% - Énfasis3 4 9" xfId="2482" xr:uid="{80D66798-8DF4-4350-9BA0-D0E98AB3665E}"/>
    <cellStyle name="40% - Énfasis3 5" xfId="295" xr:uid="{00000000-0005-0000-0000-00009C000000}"/>
    <cellStyle name="40% - Énfasis3 5 2" xfId="524" xr:uid="{00000000-0005-0000-0000-00009D000000}"/>
    <cellStyle name="40% - Énfasis3 5 2 2" xfId="1337" xr:uid="{00000000-0005-0000-0000-000059000000}"/>
    <cellStyle name="40% - Énfasis3 5 2 3" xfId="1976" xr:uid="{00000000-0005-0000-0000-000006020000}"/>
    <cellStyle name="40% - Énfasis3 5 2 4" xfId="2373" xr:uid="{00000000-0005-0000-0000-000059000000}"/>
    <cellStyle name="40% - Énfasis3 5 2 5" xfId="2637" xr:uid="{FFA75F44-04E6-4CE2-A932-D12C57004590}"/>
    <cellStyle name="40% - Énfasis3 5 3" xfId="914" xr:uid="{00000000-0005-0000-0000-000038000000}"/>
    <cellStyle name="40% - Énfasis3 5 4" xfId="1209" xr:uid="{00000000-0005-0000-0000-000038000000}"/>
    <cellStyle name="40% - Énfasis3 5 5" xfId="1475" xr:uid="{00000000-0005-0000-0000-000038000000}"/>
    <cellStyle name="40% - Énfasis3 5 6" xfId="1748" xr:uid="{00000000-0005-0000-0000-000021010000}"/>
    <cellStyle name="40% - Énfasis3 5 7" xfId="2250" xr:uid="{00000000-0005-0000-0000-000058000000}"/>
    <cellStyle name="40% - Énfasis3 5 8" xfId="2505" xr:uid="{CF5B4B81-6B08-4702-931D-9522258E9A4F}"/>
    <cellStyle name="40% - Énfasis3 6" xfId="320" xr:uid="{00000000-0005-0000-0000-00009E000000}"/>
    <cellStyle name="40% - Énfasis3 6 2" xfId="548" xr:uid="{00000000-0005-0000-0000-00009F000000}"/>
    <cellStyle name="40% - Énfasis3 6 2 2" xfId="1361" xr:uid="{00000000-0005-0000-0000-00005B000000}"/>
    <cellStyle name="40% - Énfasis3 6 2 3" xfId="2000" xr:uid="{00000000-0005-0000-0000-00001E020000}"/>
    <cellStyle name="40% - Énfasis3 6 2 4" xfId="2397" xr:uid="{00000000-0005-0000-0000-00005B000000}"/>
    <cellStyle name="40% - Énfasis3 6 2 5" xfId="2656" xr:uid="{78B5E4C5-7343-466C-98AF-40E9FF044B52}"/>
    <cellStyle name="40% - Énfasis3 6 3" xfId="1241" xr:uid="{00000000-0005-0000-0000-00005A000000}"/>
    <cellStyle name="40% - Énfasis3 6 4" xfId="1772" xr:uid="{00000000-0005-0000-0000-00003A010000}"/>
    <cellStyle name="40% - Énfasis3 6 5" xfId="2274" xr:uid="{00000000-0005-0000-0000-00005A000000}"/>
    <cellStyle name="40% - Énfasis3 6 6" xfId="2543" xr:uid="{6CD1E76D-6AF1-46AE-8649-FFA7DF325300}"/>
    <cellStyle name="40% - Énfasis3 7" xfId="338" xr:uid="{00000000-0005-0000-0000-0000A0000000}"/>
    <cellStyle name="40% - Énfasis3 7 2" xfId="565" xr:uid="{00000000-0005-0000-0000-0000A1000000}"/>
    <cellStyle name="40% - Énfasis3 7 2 2" xfId="2017" xr:uid="{00000000-0005-0000-0000-00002F020000}"/>
    <cellStyle name="40% - Énfasis3 7 3" xfId="1256" xr:uid="{00000000-0005-0000-0000-00005C000000}"/>
    <cellStyle name="40% - Énfasis3 7 4" xfId="1790" xr:uid="{00000000-0005-0000-0000-00004C010000}"/>
    <cellStyle name="40% - Énfasis3 7 5" xfId="2292" xr:uid="{00000000-0005-0000-0000-00005C000000}"/>
    <cellStyle name="40% - Énfasis3 7 6" xfId="2558" xr:uid="{2A4DD2DB-2926-49D3-9897-998A41011C69}"/>
    <cellStyle name="40% - Énfasis3 8" xfId="372" xr:uid="{00000000-0005-0000-0000-0000A2000000}"/>
    <cellStyle name="40% - Énfasis3 8 2" xfId="599" xr:uid="{00000000-0005-0000-0000-0000A3000000}"/>
    <cellStyle name="40% - Énfasis3 8 2 2" xfId="2051" xr:uid="{00000000-0005-0000-0000-000051020000}"/>
    <cellStyle name="40% - Énfasis3 8 3" xfId="1824" xr:uid="{00000000-0005-0000-0000-00006E010000}"/>
    <cellStyle name="40% - Énfasis3 9" xfId="436" xr:uid="{00000000-0005-0000-0000-0000A4000000}"/>
    <cellStyle name="40% - Énfasis3 9 2" xfId="1888" xr:uid="{00000000-0005-0000-0000-0000AE010000}"/>
    <cellStyle name="40% - Énfasis4" xfId="56" builtinId="43" customBuiltin="1"/>
    <cellStyle name="40% - Énfasis4 10" xfId="660" xr:uid="{00000000-0005-0000-0000-0000A6000000}"/>
    <cellStyle name="40% - Énfasis4 10 2" xfId="2112" xr:uid="{00000000-0005-0000-0000-00008E020000}"/>
    <cellStyle name="40% - Énfasis4 11" xfId="723" xr:uid="{00000000-0005-0000-0000-0000A7000000}"/>
    <cellStyle name="40% - Énfasis4 12" xfId="829" xr:uid="{00000000-0005-0000-0000-00004C030000}"/>
    <cellStyle name="40% - Énfasis4 13" xfId="947" xr:uid="{00000000-0005-0000-0000-0000C2030000}"/>
    <cellStyle name="40% - Énfasis4 14" xfId="1118" xr:uid="{00000000-0005-0000-0000-000064040000}"/>
    <cellStyle name="40% - Énfasis4 15" xfId="1384" xr:uid="{00000000-0005-0000-0000-00006A050000}"/>
    <cellStyle name="40% - Énfasis4 16" xfId="1406" xr:uid="{00000000-0005-0000-0000-00008E050000}"/>
    <cellStyle name="40% - Énfasis4 17" xfId="2431" xr:uid="{7EF0C0D3-9EDD-4EC3-857E-58FA43EF17B2}"/>
    <cellStyle name="40% - Énfasis4 2" xfId="85" xr:uid="{00000000-0005-0000-0000-0000A8000000}"/>
    <cellStyle name="40% - Énfasis4 2 2" xfId="1540" xr:uid="{00000000-0005-0000-0000-000051000000}"/>
    <cellStyle name="40% - Énfasis4 3" xfId="86" xr:uid="{00000000-0005-0000-0000-0000A9000000}"/>
    <cellStyle name="40% - Énfasis4 3 2" xfId="978" xr:uid="{00000000-0005-0000-0000-000029000000}"/>
    <cellStyle name="40% - Énfasis4 3 3" xfId="1541" xr:uid="{00000000-0005-0000-0000-000052000000}"/>
    <cellStyle name="40% - Énfasis4 4" xfId="273" xr:uid="{00000000-0005-0000-0000-0000AA000000}"/>
    <cellStyle name="40% - Énfasis4 4 2" xfId="502" xr:uid="{00000000-0005-0000-0000-0000AB000000}"/>
    <cellStyle name="40% - Énfasis4 4 2 2" xfId="1317" xr:uid="{00000000-0005-0000-0000-000060000000}"/>
    <cellStyle name="40% - Énfasis4 4 2 3" xfId="1954" xr:uid="{00000000-0005-0000-0000-0000F0010000}"/>
    <cellStyle name="40% - Énfasis4 4 2 4" xfId="2351" xr:uid="{00000000-0005-0000-0000-000060000000}"/>
    <cellStyle name="40% - Énfasis4 4 2 5" xfId="2617" xr:uid="{FBECF853-6813-4E3C-A5C5-96E71F1519AB}"/>
    <cellStyle name="40% - Énfasis4 4 3" xfId="738" xr:uid="{00000000-0005-0000-0000-0000AC000000}"/>
    <cellStyle name="40% - Énfasis4 4 4" xfId="892" xr:uid="{00000000-0005-0000-0000-00003C000000}"/>
    <cellStyle name="40% - Énfasis4 4 5" xfId="1187" xr:uid="{00000000-0005-0000-0000-00003C000000}"/>
    <cellStyle name="40% - Énfasis4 4 6" xfId="1453" xr:uid="{00000000-0005-0000-0000-00003C000000}"/>
    <cellStyle name="40% - Énfasis4 4 7" xfId="1726" xr:uid="{00000000-0005-0000-0000-00000B010000}"/>
    <cellStyle name="40% - Énfasis4 4 8" xfId="2228" xr:uid="{00000000-0005-0000-0000-00005F000000}"/>
    <cellStyle name="40% - Énfasis4 4 9" xfId="2483" xr:uid="{C4EE8D13-3E53-40C5-BD3D-D07219FA4101}"/>
    <cellStyle name="40% - Énfasis4 5" xfId="296" xr:uid="{00000000-0005-0000-0000-0000AD000000}"/>
    <cellStyle name="40% - Énfasis4 5 2" xfId="525" xr:uid="{00000000-0005-0000-0000-0000AE000000}"/>
    <cellStyle name="40% - Énfasis4 5 2 2" xfId="1338" xr:uid="{00000000-0005-0000-0000-000062000000}"/>
    <cellStyle name="40% - Énfasis4 5 2 3" xfId="1977" xr:uid="{00000000-0005-0000-0000-000007020000}"/>
    <cellStyle name="40% - Énfasis4 5 2 4" xfId="2374" xr:uid="{00000000-0005-0000-0000-000062000000}"/>
    <cellStyle name="40% - Énfasis4 5 2 5" xfId="2638" xr:uid="{3329680F-7B21-4801-A756-B1CC1C937FD9}"/>
    <cellStyle name="40% - Énfasis4 5 3" xfId="915" xr:uid="{00000000-0005-0000-0000-00003D000000}"/>
    <cellStyle name="40% - Énfasis4 5 4" xfId="1210" xr:uid="{00000000-0005-0000-0000-00003D000000}"/>
    <cellStyle name="40% - Énfasis4 5 5" xfId="1476" xr:uid="{00000000-0005-0000-0000-00003D000000}"/>
    <cellStyle name="40% - Énfasis4 5 6" xfId="1749" xr:uid="{00000000-0005-0000-0000-000022010000}"/>
    <cellStyle name="40% - Énfasis4 5 7" xfId="2251" xr:uid="{00000000-0005-0000-0000-000061000000}"/>
    <cellStyle name="40% - Énfasis4 5 8" xfId="2506" xr:uid="{083B3BAF-7FEB-4E9B-9A9D-C20AE072024E}"/>
    <cellStyle name="40% - Énfasis4 6" xfId="322" xr:uid="{00000000-0005-0000-0000-0000AF000000}"/>
    <cellStyle name="40% - Énfasis4 6 2" xfId="550" xr:uid="{00000000-0005-0000-0000-0000B0000000}"/>
    <cellStyle name="40% - Énfasis4 6 2 2" xfId="1363" xr:uid="{00000000-0005-0000-0000-000064000000}"/>
    <cellStyle name="40% - Énfasis4 6 2 3" xfId="2002" xr:uid="{00000000-0005-0000-0000-000020020000}"/>
    <cellStyle name="40% - Énfasis4 6 2 4" xfId="2399" xr:uid="{00000000-0005-0000-0000-000064000000}"/>
    <cellStyle name="40% - Énfasis4 6 2 5" xfId="2658" xr:uid="{102F95E7-6160-472A-9CC7-2CDA55431356}"/>
    <cellStyle name="40% - Énfasis4 6 3" xfId="1243" xr:uid="{00000000-0005-0000-0000-000063000000}"/>
    <cellStyle name="40% - Énfasis4 6 4" xfId="1774" xr:uid="{00000000-0005-0000-0000-00003C010000}"/>
    <cellStyle name="40% - Énfasis4 6 5" xfId="2276" xr:uid="{00000000-0005-0000-0000-000063000000}"/>
    <cellStyle name="40% - Énfasis4 6 6" xfId="2545" xr:uid="{324B946D-80E6-4312-821E-36992C0C680D}"/>
    <cellStyle name="40% - Énfasis4 7" xfId="340" xr:uid="{00000000-0005-0000-0000-0000B1000000}"/>
    <cellStyle name="40% - Énfasis4 7 2" xfId="567" xr:uid="{00000000-0005-0000-0000-0000B2000000}"/>
    <cellStyle name="40% - Énfasis4 7 2 2" xfId="2019" xr:uid="{00000000-0005-0000-0000-000031020000}"/>
    <cellStyle name="40% - Énfasis4 7 3" xfId="1258" xr:uid="{00000000-0005-0000-0000-000065000000}"/>
    <cellStyle name="40% - Énfasis4 7 4" xfId="1792" xr:uid="{00000000-0005-0000-0000-00004E010000}"/>
    <cellStyle name="40% - Énfasis4 7 5" xfId="2294" xr:uid="{00000000-0005-0000-0000-000065000000}"/>
    <cellStyle name="40% - Énfasis4 7 6" xfId="2560" xr:uid="{12D7C284-5B12-4B96-8D4D-637CCF12288E}"/>
    <cellStyle name="40% - Énfasis4 8" xfId="374" xr:uid="{00000000-0005-0000-0000-0000B3000000}"/>
    <cellStyle name="40% - Énfasis4 8 2" xfId="601" xr:uid="{00000000-0005-0000-0000-0000B4000000}"/>
    <cellStyle name="40% - Énfasis4 8 2 2" xfId="2053" xr:uid="{00000000-0005-0000-0000-000053020000}"/>
    <cellStyle name="40% - Énfasis4 8 3" xfId="1826" xr:uid="{00000000-0005-0000-0000-000070010000}"/>
    <cellStyle name="40% - Énfasis4 9" xfId="438" xr:uid="{00000000-0005-0000-0000-0000B5000000}"/>
    <cellStyle name="40% - Énfasis4 9 2" xfId="1890" xr:uid="{00000000-0005-0000-0000-0000B0010000}"/>
    <cellStyle name="40% - Énfasis5" xfId="60" builtinId="47" customBuiltin="1"/>
    <cellStyle name="40% - Énfasis5 10" xfId="662" xr:uid="{00000000-0005-0000-0000-0000B7000000}"/>
    <cellStyle name="40% - Énfasis5 10 2" xfId="2114" xr:uid="{00000000-0005-0000-0000-000090020000}"/>
    <cellStyle name="40% - Énfasis5 11" xfId="725" xr:uid="{00000000-0005-0000-0000-0000B8000000}"/>
    <cellStyle name="40% - Énfasis5 12" xfId="831" xr:uid="{00000000-0005-0000-0000-00004F030000}"/>
    <cellStyle name="40% - Énfasis5 13" xfId="949" xr:uid="{00000000-0005-0000-0000-0000C4030000}"/>
    <cellStyle name="40% - Énfasis5 14" xfId="1120" xr:uid="{00000000-0005-0000-0000-000067040000}"/>
    <cellStyle name="40% - Énfasis5 15" xfId="1386" xr:uid="{00000000-0005-0000-0000-00006B050000}"/>
    <cellStyle name="40% - Énfasis5 16" xfId="1408" xr:uid="{00000000-0005-0000-0000-000091050000}"/>
    <cellStyle name="40% - Énfasis5 17" xfId="2433" xr:uid="{114F3709-2E8D-4068-AD09-99536A49793A}"/>
    <cellStyle name="40% - Énfasis5 2" xfId="87" xr:uid="{00000000-0005-0000-0000-0000B9000000}"/>
    <cellStyle name="40% - Énfasis5 2 2" xfId="1542" xr:uid="{00000000-0005-0000-0000-000053000000}"/>
    <cellStyle name="40% - Énfasis5 3" xfId="88" xr:uid="{00000000-0005-0000-0000-0000BA000000}"/>
    <cellStyle name="40% - Énfasis5 3 2" xfId="979" xr:uid="{00000000-0005-0000-0000-00002C000000}"/>
    <cellStyle name="40% - Énfasis5 3 3" xfId="1543" xr:uid="{00000000-0005-0000-0000-000054000000}"/>
    <cellStyle name="40% - Énfasis5 4" xfId="274" xr:uid="{00000000-0005-0000-0000-0000BB000000}"/>
    <cellStyle name="40% - Énfasis5 4 2" xfId="503" xr:uid="{00000000-0005-0000-0000-0000BC000000}"/>
    <cellStyle name="40% - Énfasis5 4 2 2" xfId="1318" xr:uid="{00000000-0005-0000-0000-000069000000}"/>
    <cellStyle name="40% - Énfasis5 4 2 3" xfId="1955" xr:uid="{00000000-0005-0000-0000-0000F1010000}"/>
    <cellStyle name="40% - Énfasis5 4 2 4" xfId="2352" xr:uid="{00000000-0005-0000-0000-000069000000}"/>
    <cellStyle name="40% - Énfasis5 4 2 5" xfId="2618" xr:uid="{1F69222E-CD75-4BED-8101-2879E9DEDA38}"/>
    <cellStyle name="40% - Énfasis5 4 3" xfId="739" xr:uid="{00000000-0005-0000-0000-0000BD000000}"/>
    <cellStyle name="40% - Énfasis5 4 4" xfId="893" xr:uid="{00000000-0005-0000-0000-000041000000}"/>
    <cellStyle name="40% - Énfasis5 4 5" xfId="1188" xr:uid="{00000000-0005-0000-0000-000041000000}"/>
    <cellStyle name="40% - Énfasis5 4 6" xfId="1454" xr:uid="{00000000-0005-0000-0000-000041000000}"/>
    <cellStyle name="40% - Énfasis5 4 7" xfId="1727" xr:uid="{00000000-0005-0000-0000-00000C010000}"/>
    <cellStyle name="40% - Énfasis5 4 8" xfId="2229" xr:uid="{00000000-0005-0000-0000-000068000000}"/>
    <cellStyle name="40% - Énfasis5 4 9" xfId="2484" xr:uid="{19AA3AA5-6C41-4CFB-A0E0-90D963E72641}"/>
    <cellStyle name="40% - Énfasis5 5" xfId="297" xr:uid="{00000000-0005-0000-0000-0000BE000000}"/>
    <cellStyle name="40% - Énfasis5 5 2" xfId="526" xr:uid="{00000000-0005-0000-0000-0000BF000000}"/>
    <cellStyle name="40% - Énfasis5 5 2 2" xfId="1339" xr:uid="{00000000-0005-0000-0000-00006B000000}"/>
    <cellStyle name="40% - Énfasis5 5 2 3" xfId="1978" xr:uid="{00000000-0005-0000-0000-000008020000}"/>
    <cellStyle name="40% - Énfasis5 5 2 4" xfId="2375" xr:uid="{00000000-0005-0000-0000-00006B000000}"/>
    <cellStyle name="40% - Énfasis5 5 2 5" xfId="2639" xr:uid="{54FCCEC0-2C40-4BFA-8884-B7A8D9C527BB}"/>
    <cellStyle name="40% - Énfasis5 5 3" xfId="916" xr:uid="{00000000-0005-0000-0000-000042000000}"/>
    <cellStyle name="40% - Énfasis5 5 4" xfId="1211" xr:uid="{00000000-0005-0000-0000-000042000000}"/>
    <cellStyle name="40% - Énfasis5 5 5" xfId="1477" xr:uid="{00000000-0005-0000-0000-000042000000}"/>
    <cellStyle name="40% - Énfasis5 5 6" xfId="1750" xr:uid="{00000000-0005-0000-0000-000023010000}"/>
    <cellStyle name="40% - Énfasis5 5 7" xfId="2252" xr:uid="{00000000-0005-0000-0000-00006A000000}"/>
    <cellStyle name="40% - Énfasis5 5 8" xfId="2507" xr:uid="{C0E0CC7C-108B-4E9D-910B-6BB24EEECD0E}"/>
    <cellStyle name="40% - Énfasis5 6" xfId="324" xr:uid="{00000000-0005-0000-0000-0000C0000000}"/>
    <cellStyle name="40% - Énfasis5 6 2" xfId="552" xr:uid="{00000000-0005-0000-0000-0000C1000000}"/>
    <cellStyle name="40% - Énfasis5 6 2 2" xfId="1365" xr:uid="{00000000-0005-0000-0000-00006D000000}"/>
    <cellStyle name="40% - Énfasis5 6 2 3" xfId="2004" xr:uid="{00000000-0005-0000-0000-000022020000}"/>
    <cellStyle name="40% - Énfasis5 6 2 4" xfId="2401" xr:uid="{00000000-0005-0000-0000-00006D000000}"/>
    <cellStyle name="40% - Énfasis5 6 2 5" xfId="2660" xr:uid="{BB348E1D-57AB-4D1E-B850-0642527FA92A}"/>
    <cellStyle name="40% - Énfasis5 6 3" xfId="1245" xr:uid="{00000000-0005-0000-0000-00006C000000}"/>
    <cellStyle name="40% - Énfasis5 6 4" xfId="1776" xr:uid="{00000000-0005-0000-0000-00003E010000}"/>
    <cellStyle name="40% - Énfasis5 6 5" xfId="2278" xr:uid="{00000000-0005-0000-0000-00006C000000}"/>
    <cellStyle name="40% - Énfasis5 6 6" xfId="2547" xr:uid="{8F7AA294-EAAB-454C-B4D5-5306F20D523D}"/>
    <cellStyle name="40% - Énfasis5 7" xfId="342" xr:uid="{00000000-0005-0000-0000-0000C2000000}"/>
    <cellStyle name="40% - Énfasis5 7 2" xfId="569" xr:uid="{00000000-0005-0000-0000-0000C3000000}"/>
    <cellStyle name="40% - Énfasis5 7 2 2" xfId="2021" xr:uid="{00000000-0005-0000-0000-000033020000}"/>
    <cellStyle name="40% - Énfasis5 7 3" xfId="1260" xr:uid="{00000000-0005-0000-0000-00006E000000}"/>
    <cellStyle name="40% - Énfasis5 7 4" xfId="1794" xr:uid="{00000000-0005-0000-0000-000050010000}"/>
    <cellStyle name="40% - Énfasis5 7 5" xfId="2296" xr:uid="{00000000-0005-0000-0000-00006E000000}"/>
    <cellStyle name="40% - Énfasis5 7 6" xfId="2562" xr:uid="{980F7112-6B70-4843-8196-10D6966DBA1B}"/>
    <cellStyle name="40% - Énfasis5 8" xfId="376" xr:uid="{00000000-0005-0000-0000-0000C4000000}"/>
    <cellStyle name="40% - Énfasis5 8 2" xfId="603" xr:uid="{00000000-0005-0000-0000-0000C5000000}"/>
    <cellStyle name="40% - Énfasis5 8 2 2" xfId="2055" xr:uid="{00000000-0005-0000-0000-000055020000}"/>
    <cellStyle name="40% - Énfasis5 8 3" xfId="1828" xr:uid="{00000000-0005-0000-0000-000072010000}"/>
    <cellStyle name="40% - Énfasis5 9" xfId="440" xr:uid="{00000000-0005-0000-0000-0000C6000000}"/>
    <cellStyle name="40% - Énfasis5 9 2" xfId="1892" xr:uid="{00000000-0005-0000-0000-0000B2010000}"/>
    <cellStyle name="40% - Énfasis6" xfId="64" builtinId="51" customBuiltin="1"/>
    <cellStyle name="40% - Énfasis6 10" xfId="664" xr:uid="{00000000-0005-0000-0000-0000C8000000}"/>
    <cellStyle name="40% - Énfasis6 10 2" xfId="2116" xr:uid="{00000000-0005-0000-0000-000092020000}"/>
    <cellStyle name="40% - Énfasis6 11" xfId="727" xr:uid="{00000000-0005-0000-0000-0000C9000000}"/>
    <cellStyle name="40% - Énfasis6 12" xfId="833" xr:uid="{00000000-0005-0000-0000-000052030000}"/>
    <cellStyle name="40% - Énfasis6 13" xfId="951" xr:uid="{00000000-0005-0000-0000-0000C6030000}"/>
    <cellStyle name="40% - Énfasis6 14" xfId="1122" xr:uid="{00000000-0005-0000-0000-00006A040000}"/>
    <cellStyle name="40% - Énfasis6 15" xfId="1388" xr:uid="{00000000-0005-0000-0000-00006C050000}"/>
    <cellStyle name="40% - Énfasis6 16" xfId="1410" xr:uid="{00000000-0005-0000-0000-000094050000}"/>
    <cellStyle name="40% - Énfasis6 17" xfId="2435" xr:uid="{DAE586B9-20A7-4CC8-9E92-7E2FE0D19EB1}"/>
    <cellStyle name="40% - Énfasis6 2" xfId="89" xr:uid="{00000000-0005-0000-0000-0000CA000000}"/>
    <cellStyle name="40% - Énfasis6 2 2" xfId="1544" xr:uid="{00000000-0005-0000-0000-000055000000}"/>
    <cellStyle name="40% - Énfasis6 3" xfId="90" xr:uid="{00000000-0005-0000-0000-0000CB000000}"/>
    <cellStyle name="40% - Énfasis6 3 2" xfId="980" xr:uid="{00000000-0005-0000-0000-00002F000000}"/>
    <cellStyle name="40% - Énfasis6 3 3" xfId="1545" xr:uid="{00000000-0005-0000-0000-000056000000}"/>
    <cellStyle name="40% - Énfasis6 4" xfId="275" xr:uid="{00000000-0005-0000-0000-0000CC000000}"/>
    <cellStyle name="40% - Énfasis6 4 2" xfId="504" xr:uid="{00000000-0005-0000-0000-0000CD000000}"/>
    <cellStyle name="40% - Énfasis6 4 2 2" xfId="1319" xr:uid="{00000000-0005-0000-0000-000072000000}"/>
    <cellStyle name="40% - Énfasis6 4 2 3" xfId="1956" xr:uid="{00000000-0005-0000-0000-0000F2010000}"/>
    <cellStyle name="40% - Énfasis6 4 2 4" xfId="2353" xr:uid="{00000000-0005-0000-0000-000072000000}"/>
    <cellStyle name="40% - Énfasis6 4 2 5" xfId="2619" xr:uid="{522C0FBA-B483-40D7-A9CE-FFDED68BBBE7}"/>
    <cellStyle name="40% - Énfasis6 4 3" xfId="740" xr:uid="{00000000-0005-0000-0000-0000CE000000}"/>
    <cellStyle name="40% - Énfasis6 4 4" xfId="894" xr:uid="{00000000-0005-0000-0000-000046000000}"/>
    <cellStyle name="40% - Énfasis6 4 5" xfId="1189" xr:uid="{00000000-0005-0000-0000-000046000000}"/>
    <cellStyle name="40% - Énfasis6 4 6" xfId="1455" xr:uid="{00000000-0005-0000-0000-000046000000}"/>
    <cellStyle name="40% - Énfasis6 4 7" xfId="1728" xr:uid="{00000000-0005-0000-0000-00000D010000}"/>
    <cellStyle name="40% - Énfasis6 4 8" xfId="2230" xr:uid="{00000000-0005-0000-0000-000071000000}"/>
    <cellStyle name="40% - Énfasis6 4 9" xfId="2485" xr:uid="{908D443F-0110-4764-A958-A21F160499AF}"/>
    <cellStyle name="40% - Énfasis6 5" xfId="298" xr:uid="{00000000-0005-0000-0000-0000CF000000}"/>
    <cellStyle name="40% - Énfasis6 5 2" xfId="527" xr:uid="{00000000-0005-0000-0000-0000D0000000}"/>
    <cellStyle name="40% - Énfasis6 5 2 2" xfId="1340" xr:uid="{00000000-0005-0000-0000-000074000000}"/>
    <cellStyle name="40% - Énfasis6 5 2 3" xfId="1979" xr:uid="{00000000-0005-0000-0000-000009020000}"/>
    <cellStyle name="40% - Énfasis6 5 2 4" xfId="2376" xr:uid="{00000000-0005-0000-0000-000074000000}"/>
    <cellStyle name="40% - Énfasis6 5 2 5" xfId="2640" xr:uid="{2F948CDE-2900-4BE7-87A3-9F94D31D6F27}"/>
    <cellStyle name="40% - Énfasis6 5 3" xfId="917" xr:uid="{00000000-0005-0000-0000-000047000000}"/>
    <cellStyle name="40% - Énfasis6 5 4" xfId="1212" xr:uid="{00000000-0005-0000-0000-000047000000}"/>
    <cellStyle name="40% - Énfasis6 5 5" xfId="1478" xr:uid="{00000000-0005-0000-0000-000047000000}"/>
    <cellStyle name="40% - Énfasis6 5 6" xfId="1751" xr:uid="{00000000-0005-0000-0000-000024010000}"/>
    <cellStyle name="40% - Énfasis6 5 7" xfId="2253" xr:uid="{00000000-0005-0000-0000-000073000000}"/>
    <cellStyle name="40% - Énfasis6 5 8" xfId="2508" xr:uid="{5D66E546-7E7F-455C-970E-F75AC98131FE}"/>
    <cellStyle name="40% - Énfasis6 6" xfId="326" xr:uid="{00000000-0005-0000-0000-0000D1000000}"/>
    <cellStyle name="40% - Énfasis6 6 2" xfId="554" xr:uid="{00000000-0005-0000-0000-0000D2000000}"/>
    <cellStyle name="40% - Énfasis6 6 2 2" xfId="1367" xr:uid="{00000000-0005-0000-0000-000076000000}"/>
    <cellStyle name="40% - Énfasis6 6 2 3" xfId="2006" xr:uid="{00000000-0005-0000-0000-000024020000}"/>
    <cellStyle name="40% - Énfasis6 6 2 4" xfId="2403" xr:uid="{00000000-0005-0000-0000-000076000000}"/>
    <cellStyle name="40% - Énfasis6 6 2 5" xfId="2662" xr:uid="{4A5F8A41-8672-420F-9058-6311988DD24E}"/>
    <cellStyle name="40% - Énfasis6 6 3" xfId="1247" xr:uid="{00000000-0005-0000-0000-000075000000}"/>
    <cellStyle name="40% - Énfasis6 6 4" xfId="1778" xr:uid="{00000000-0005-0000-0000-000040010000}"/>
    <cellStyle name="40% - Énfasis6 6 5" xfId="2280" xr:uid="{00000000-0005-0000-0000-000075000000}"/>
    <cellStyle name="40% - Énfasis6 6 6" xfId="2549" xr:uid="{33412F12-9DC1-4064-B917-D6B18D27E6E0}"/>
    <cellStyle name="40% - Énfasis6 7" xfId="344" xr:uid="{00000000-0005-0000-0000-0000D3000000}"/>
    <cellStyle name="40% - Énfasis6 7 2" xfId="571" xr:uid="{00000000-0005-0000-0000-0000D4000000}"/>
    <cellStyle name="40% - Énfasis6 7 2 2" xfId="2023" xr:uid="{00000000-0005-0000-0000-000035020000}"/>
    <cellStyle name="40% - Énfasis6 7 3" xfId="1262" xr:uid="{00000000-0005-0000-0000-000077000000}"/>
    <cellStyle name="40% - Énfasis6 7 4" xfId="1796" xr:uid="{00000000-0005-0000-0000-000052010000}"/>
    <cellStyle name="40% - Énfasis6 7 5" xfId="2298" xr:uid="{00000000-0005-0000-0000-000077000000}"/>
    <cellStyle name="40% - Énfasis6 7 6" xfId="2564" xr:uid="{8C5D2B67-AAF4-4D24-88AC-562C3616F78C}"/>
    <cellStyle name="40% - Énfasis6 8" xfId="378" xr:uid="{00000000-0005-0000-0000-0000D5000000}"/>
    <cellStyle name="40% - Énfasis6 8 2" xfId="605" xr:uid="{00000000-0005-0000-0000-0000D6000000}"/>
    <cellStyle name="40% - Énfasis6 8 2 2" xfId="2057" xr:uid="{00000000-0005-0000-0000-000057020000}"/>
    <cellStyle name="40% - Énfasis6 8 3" xfId="1830" xr:uid="{00000000-0005-0000-0000-000074010000}"/>
    <cellStyle name="40% - Énfasis6 9" xfId="442" xr:uid="{00000000-0005-0000-0000-0000D7000000}"/>
    <cellStyle name="40% - Énfasis6 9 2" xfId="1894" xr:uid="{00000000-0005-0000-0000-0000B4010000}"/>
    <cellStyle name="60% - Accent1" xfId="183" xr:uid="{00000000-0005-0000-0000-0000D8000000}"/>
    <cellStyle name="60% - Accent1 2" xfId="1106" xr:uid="{00000000-0005-0000-0000-000078000000}"/>
    <cellStyle name="60% - Accent1 3" xfId="1635" xr:uid="{00000000-0005-0000-0000-0000B0000000}"/>
    <cellStyle name="60% - Accent2" xfId="184" xr:uid="{00000000-0005-0000-0000-0000D9000000}"/>
    <cellStyle name="60% - Accent2 2" xfId="1167" xr:uid="{00000000-0005-0000-0000-000079000000}"/>
    <cellStyle name="60% - Accent2 3" xfId="1636" xr:uid="{00000000-0005-0000-0000-0000B1000000}"/>
    <cellStyle name="60% - Accent3" xfId="185" xr:uid="{00000000-0005-0000-0000-0000DA000000}"/>
    <cellStyle name="60% - Accent3 2" xfId="1093" xr:uid="{00000000-0005-0000-0000-00007A000000}"/>
    <cellStyle name="60% - Accent3 3" xfId="1637" xr:uid="{00000000-0005-0000-0000-0000B2000000}"/>
    <cellStyle name="60% - Accent4" xfId="186" xr:uid="{00000000-0005-0000-0000-0000DB000000}"/>
    <cellStyle name="60% - Accent4 2" xfId="1128" xr:uid="{00000000-0005-0000-0000-00007B000000}"/>
    <cellStyle name="60% - Accent4 3" xfId="1638" xr:uid="{00000000-0005-0000-0000-0000B3000000}"/>
    <cellStyle name="60% - Accent5" xfId="187" xr:uid="{00000000-0005-0000-0000-0000DC000000}"/>
    <cellStyle name="60% - Accent5 2" xfId="1139" xr:uid="{00000000-0005-0000-0000-00007C000000}"/>
    <cellStyle name="60% - Accent5 3" xfId="1639" xr:uid="{00000000-0005-0000-0000-0000B4000000}"/>
    <cellStyle name="60% - Accent6" xfId="188" xr:uid="{00000000-0005-0000-0000-0000DD000000}"/>
    <cellStyle name="60% - Accent6 2" xfId="1126" xr:uid="{00000000-0005-0000-0000-00007D000000}"/>
    <cellStyle name="60% - Accent6 3" xfId="1640" xr:uid="{00000000-0005-0000-0000-0000B5000000}"/>
    <cellStyle name="60% - Énfasis1" xfId="45" builtinId="32" customBuiltin="1"/>
    <cellStyle name="60% - Énfasis1 2" xfId="91" xr:uid="{00000000-0005-0000-0000-0000DF000000}"/>
    <cellStyle name="60% - Énfasis1 2 2" xfId="1546" xr:uid="{00000000-0005-0000-0000-000057000000}"/>
    <cellStyle name="60% - Énfasis1 3" xfId="92" xr:uid="{00000000-0005-0000-0000-0000E0000000}"/>
    <cellStyle name="60% - Énfasis1 3 2" xfId="981" xr:uid="{00000000-0005-0000-0000-000038000000}"/>
    <cellStyle name="60% - Énfasis1 3 3" xfId="1547" xr:uid="{00000000-0005-0000-0000-000058000000}"/>
    <cellStyle name="60% - Énfasis1 4" xfId="963" xr:uid="{00000000-0005-0000-0000-000059000000}"/>
    <cellStyle name="60% - Énfasis2" xfId="49" builtinId="36" customBuiltin="1"/>
    <cellStyle name="60% - Énfasis2 2" xfId="93" xr:uid="{00000000-0005-0000-0000-0000E2000000}"/>
    <cellStyle name="60% - Énfasis2 2 2" xfId="1548" xr:uid="{00000000-0005-0000-0000-000059000000}"/>
    <cellStyle name="60% - Énfasis2 3" xfId="94" xr:uid="{00000000-0005-0000-0000-0000E3000000}"/>
    <cellStyle name="60% - Énfasis2 3 2" xfId="982" xr:uid="{00000000-0005-0000-0000-00003B000000}"/>
    <cellStyle name="60% - Énfasis2 3 3" xfId="1549" xr:uid="{00000000-0005-0000-0000-00005A000000}"/>
    <cellStyle name="60% - Énfasis2 4" xfId="964" xr:uid="{00000000-0005-0000-0000-00005C000000}"/>
    <cellStyle name="60% - Énfasis3" xfId="53" builtinId="40" customBuiltin="1"/>
    <cellStyle name="60% - Énfasis3 2" xfId="95" xr:uid="{00000000-0005-0000-0000-0000E5000000}"/>
    <cellStyle name="60% - Énfasis3 2 2" xfId="1550" xr:uid="{00000000-0005-0000-0000-00005B000000}"/>
    <cellStyle name="60% - Énfasis3 3" xfId="96" xr:uid="{00000000-0005-0000-0000-0000E6000000}"/>
    <cellStyle name="60% - Énfasis3 3 2" xfId="983" xr:uid="{00000000-0005-0000-0000-00003E000000}"/>
    <cellStyle name="60% - Énfasis3 3 3" xfId="1551" xr:uid="{00000000-0005-0000-0000-00005C000000}"/>
    <cellStyle name="60% - Énfasis3 4" xfId="965" xr:uid="{00000000-0005-0000-0000-00005F000000}"/>
    <cellStyle name="60% - Énfasis4" xfId="57" builtinId="44" customBuiltin="1"/>
    <cellStyle name="60% - Énfasis4 2" xfId="97" xr:uid="{00000000-0005-0000-0000-0000E8000000}"/>
    <cellStyle name="60% - Énfasis4 2 2" xfId="1552" xr:uid="{00000000-0005-0000-0000-00005D000000}"/>
    <cellStyle name="60% - Énfasis4 3" xfId="98" xr:uid="{00000000-0005-0000-0000-0000E9000000}"/>
    <cellStyle name="60% - Énfasis4 3 2" xfId="984" xr:uid="{00000000-0005-0000-0000-000041000000}"/>
    <cellStyle name="60% - Énfasis4 3 3" xfId="1553" xr:uid="{00000000-0005-0000-0000-00005E000000}"/>
    <cellStyle name="60% - Énfasis4 4" xfId="966" xr:uid="{00000000-0005-0000-0000-000062000000}"/>
    <cellStyle name="60% - Énfasis5" xfId="61" builtinId="48" customBuiltin="1"/>
    <cellStyle name="60% - Énfasis5 2" xfId="99" xr:uid="{00000000-0005-0000-0000-0000EB000000}"/>
    <cellStyle name="60% - Énfasis5 2 2" xfId="1554" xr:uid="{00000000-0005-0000-0000-00005F000000}"/>
    <cellStyle name="60% - Énfasis5 3" xfId="100" xr:uid="{00000000-0005-0000-0000-0000EC000000}"/>
    <cellStyle name="60% - Énfasis5 3 2" xfId="985" xr:uid="{00000000-0005-0000-0000-000044000000}"/>
    <cellStyle name="60% - Énfasis5 3 3" xfId="1555" xr:uid="{00000000-0005-0000-0000-000060000000}"/>
    <cellStyle name="60% - Énfasis5 4" xfId="967" xr:uid="{00000000-0005-0000-0000-000065000000}"/>
    <cellStyle name="60% - Énfasis6" xfId="65" builtinId="52" customBuiltin="1"/>
    <cellStyle name="60% - Énfasis6 2" xfId="101" xr:uid="{00000000-0005-0000-0000-0000EE000000}"/>
    <cellStyle name="60% - Énfasis6 2 2" xfId="1556" xr:uid="{00000000-0005-0000-0000-000061000000}"/>
    <cellStyle name="60% - Énfasis6 3" xfId="102" xr:uid="{00000000-0005-0000-0000-0000EF000000}"/>
    <cellStyle name="60% - Énfasis6 3 2" xfId="986" xr:uid="{00000000-0005-0000-0000-000047000000}"/>
    <cellStyle name="60% - Énfasis6 3 3" xfId="1557" xr:uid="{00000000-0005-0000-0000-000062000000}"/>
    <cellStyle name="60% - Énfasis6 4" xfId="968" xr:uid="{00000000-0005-0000-0000-000068000000}"/>
    <cellStyle name="Accent1" xfId="189" xr:uid="{00000000-0005-0000-0000-0000F0000000}"/>
    <cellStyle name="Accent1 2" xfId="1097" xr:uid="{00000000-0005-0000-0000-00008A000000}"/>
    <cellStyle name="Accent1 3" xfId="1641" xr:uid="{00000000-0005-0000-0000-0000B6000000}"/>
    <cellStyle name="Accent2" xfId="190" xr:uid="{00000000-0005-0000-0000-0000F1000000}"/>
    <cellStyle name="Accent2 2" xfId="1146" xr:uid="{00000000-0005-0000-0000-00008B000000}"/>
    <cellStyle name="Accent2 3" xfId="1642" xr:uid="{00000000-0005-0000-0000-0000B7000000}"/>
    <cellStyle name="Accent3" xfId="191" xr:uid="{00000000-0005-0000-0000-0000F2000000}"/>
    <cellStyle name="Accent3 2" xfId="1164" xr:uid="{00000000-0005-0000-0000-00008C000000}"/>
    <cellStyle name="Accent3 3" xfId="1643" xr:uid="{00000000-0005-0000-0000-0000B8000000}"/>
    <cellStyle name="Accent4" xfId="192" xr:uid="{00000000-0005-0000-0000-0000F3000000}"/>
    <cellStyle name="Accent4 2" xfId="1092" xr:uid="{00000000-0005-0000-0000-00008D000000}"/>
    <cellStyle name="Accent4 3" xfId="1644" xr:uid="{00000000-0005-0000-0000-0000B9000000}"/>
    <cellStyle name="Accent5" xfId="193" xr:uid="{00000000-0005-0000-0000-0000F4000000}"/>
    <cellStyle name="Accent5 2" xfId="1110" xr:uid="{00000000-0005-0000-0000-00008E000000}"/>
    <cellStyle name="Accent5 3" xfId="1645" xr:uid="{00000000-0005-0000-0000-0000BA000000}"/>
    <cellStyle name="Accent6" xfId="194" xr:uid="{00000000-0005-0000-0000-0000F5000000}"/>
    <cellStyle name="Accent6 2" xfId="1127" xr:uid="{00000000-0005-0000-0000-00008F000000}"/>
    <cellStyle name="Accent6 3" xfId="1646" xr:uid="{00000000-0005-0000-0000-0000BB000000}"/>
    <cellStyle name="ANCLAS,REZONES Y SUS PA" xfId="1647" xr:uid="{00000000-0005-0000-0000-0000BC000000}"/>
    <cellStyle name="ANCLAS,REZONES Y SUS PARTES,DE FUNDICION,DE HIERRO O DE ACERO" xfId="195" xr:uid="{00000000-0005-0000-0000-0000F6000000}"/>
    <cellStyle name="Bad" xfId="196" xr:uid="{00000000-0005-0000-0000-0000F7000000}"/>
    <cellStyle name="Bad 2" xfId="1151" xr:uid="{00000000-0005-0000-0000-000091000000}"/>
    <cellStyle name="Bad 3" xfId="1648" xr:uid="{00000000-0005-0000-0000-0000BD000000}"/>
    <cellStyle name="Buena 2" xfId="103" xr:uid="{00000000-0005-0000-0000-0000F9000000}"/>
    <cellStyle name="Buena 2 2" xfId="1558" xr:uid="{00000000-0005-0000-0000-000063000000}"/>
    <cellStyle name="Buena 3" xfId="104" xr:uid="{00000000-0005-0000-0000-0000FA000000}"/>
    <cellStyle name="Buena 3 2" xfId="987" xr:uid="{00000000-0005-0000-0000-000052000000}"/>
    <cellStyle name="Buena 3 3" xfId="1559" xr:uid="{00000000-0005-0000-0000-000064000000}"/>
    <cellStyle name="Bueno" xfId="31" builtinId="26" customBuiltin="1"/>
    <cellStyle name="Bueno 2" xfId="1032" xr:uid="{00000000-0005-0000-0000-0000EF000000}"/>
    <cellStyle name="Calculation" xfId="197" xr:uid="{00000000-0005-0000-0000-0000FB000000}"/>
    <cellStyle name="Calculation 2" xfId="1020" xr:uid="{00000000-0005-0000-0000-000053000000}"/>
    <cellStyle name="Calculation 3" xfId="1150" xr:uid="{00000000-0005-0000-0000-000095000000}"/>
    <cellStyle name="Calculation 4" xfId="1649" xr:uid="{00000000-0005-0000-0000-0000BE000000}"/>
    <cellStyle name="Cálculo" xfId="36" builtinId="22" customBuiltin="1"/>
    <cellStyle name="Cálculo 2" xfId="105" xr:uid="{00000000-0005-0000-0000-0000FD000000}"/>
    <cellStyle name="Cálculo 2 2" xfId="1021" xr:uid="{00000000-0005-0000-0000-000055000000}"/>
    <cellStyle name="Cálculo 2 3" xfId="1560" xr:uid="{00000000-0005-0000-0000-000065000000}"/>
    <cellStyle name="Cálculo 3" xfId="106" xr:uid="{00000000-0005-0000-0000-0000FE000000}"/>
    <cellStyle name="Cálculo 3 2" xfId="988" xr:uid="{00000000-0005-0000-0000-000056000000}"/>
    <cellStyle name="Cálculo 3 3" xfId="1561" xr:uid="{00000000-0005-0000-0000-000066000000}"/>
    <cellStyle name="Celda de comprobación" xfId="38" builtinId="23" customBuiltin="1"/>
    <cellStyle name="Celda de comprobación 2" xfId="107" xr:uid="{00000000-0005-0000-0000-000000010000}"/>
    <cellStyle name="Celda de comprobación 2 2" xfId="1562" xr:uid="{00000000-0005-0000-0000-000067000000}"/>
    <cellStyle name="Celda de comprobación 3" xfId="108" xr:uid="{00000000-0005-0000-0000-000001010000}"/>
    <cellStyle name="Celda de comprobación 3 2" xfId="989" xr:uid="{00000000-0005-0000-0000-000059000000}"/>
    <cellStyle name="Celda de comprobación 3 3" xfId="1563" xr:uid="{00000000-0005-0000-0000-000068000000}"/>
    <cellStyle name="Celda vinculada" xfId="37" builtinId="24" customBuiltin="1"/>
    <cellStyle name="Celda vinculada 2" xfId="109" xr:uid="{00000000-0005-0000-0000-000003010000}"/>
    <cellStyle name="Celda vinculada 2 2" xfId="1564" xr:uid="{00000000-0005-0000-0000-000069000000}"/>
    <cellStyle name="Celda vinculada 3" xfId="110" xr:uid="{00000000-0005-0000-0000-000004010000}"/>
    <cellStyle name="Celda vinculada 3 2" xfId="990" xr:uid="{00000000-0005-0000-0000-00005C000000}"/>
    <cellStyle name="Celda vinculada 3 3" xfId="1565" xr:uid="{00000000-0005-0000-0000-00006A000000}"/>
    <cellStyle name="Check Cell" xfId="198" xr:uid="{00000000-0005-0000-0000-000005010000}"/>
    <cellStyle name="Check Cell 2" xfId="1650" xr:uid="{00000000-0005-0000-0000-0000BF000000}"/>
    <cellStyle name="Comma_CST_DIC 11" xfId="9" xr:uid="{00000000-0005-0000-0000-000006010000}"/>
    <cellStyle name="Encabezado 1" xfId="312" builtinId="16" customBuiltin="1"/>
    <cellStyle name="Encabezado 1 2" xfId="1124" xr:uid="{00000000-0005-0000-0000-00000E050000}"/>
    <cellStyle name="Encabezado 4" xfId="30" builtinId="19" customBuiltin="1"/>
    <cellStyle name="Encabezado 4 2" xfId="111" xr:uid="{00000000-0005-0000-0000-000009010000}"/>
    <cellStyle name="Encabezado 4 2 2" xfId="1566" xr:uid="{00000000-0005-0000-0000-00006B000000}"/>
    <cellStyle name="Encabezado 4 3" xfId="112" xr:uid="{00000000-0005-0000-0000-00000A010000}"/>
    <cellStyle name="Encabezado 4 3 2" xfId="991" xr:uid="{00000000-0005-0000-0000-000060000000}"/>
    <cellStyle name="Encabezado 4 3 3" xfId="1567" xr:uid="{00000000-0005-0000-0000-00006C000000}"/>
    <cellStyle name="Énfasis1" xfId="42" builtinId="29" customBuiltin="1"/>
    <cellStyle name="Énfasis1 2" xfId="113" xr:uid="{00000000-0005-0000-0000-00000C010000}"/>
    <cellStyle name="Énfasis1 2 2" xfId="1568" xr:uid="{00000000-0005-0000-0000-00006D000000}"/>
    <cellStyle name="Énfasis1 3" xfId="114" xr:uid="{00000000-0005-0000-0000-00000D010000}"/>
    <cellStyle name="Énfasis1 3 2" xfId="992" xr:uid="{00000000-0005-0000-0000-000063000000}"/>
    <cellStyle name="Énfasis1 3 3" xfId="1569" xr:uid="{00000000-0005-0000-0000-00006E000000}"/>
    <cellStyle name="Énfasis2" xfId="46" builtinId="33" customBuiltin="1"/>
    <cellStyle name="Énfasis2 2" xfId="115" xr:uid="{00000000-0005-0000-0000-00000F010000}"/>
    <cellStyle name="Énfasis2 2 2" xfId="1570" xr:uid="{00000000-0005-0000-0000-00006F000000}"/>
    <cellStyle name="Énfasis2 3" xfId="116" xr:uid="{00000000-0005-0000-0000-000010010000}"/>
    <cellStyle name="Énfasis2 3 2" xfId="993" xr:uid="{00000000-0005-0000-0000-000066000000}"/>
    <cellStyle name="Énfasis2 3 3" xfId="1571" xr:uid="{00000000-0005-0000-0000-000070000000}"/>
    <cellStyle name="Énfasis3" xfId="50" builtinId="37" customBuiltin="1"/>
    <cellStyle name="Énfasis3 2" xfId="117" xr:uid="{00000000-0005-0000-0000-000012010000}"/>
    <cellStyle name="Énfasis3 2 2" xfId="1572" xr:uid="{00000000-0005-0000-0000-000071000000}"/>
    <cellStyle name="Énfasis3 3" xfId="118" xr:uid="{00000000-0005-0000-0000-000013010000}"/>
    <cellStyle name="Énfasis3 3 2" xfId="994" xr:uid="{00000000-0005-0000-0000-000069000000}"/>
    <cellStyle name="Énfasis3 3 3" xfId="1573" xr:uid="{00000000-0005-0000-0000-000072000000}"/>
    <cellStyle name="Énfasis4" xfId="54" builtinId="41" customBuiltin="1"/>
    <cellStyle name="Énfasis4 2" xfId="119" xr:uid="{00000000-0005-0000-0000-000015010000}"/>
    <cellStyle name="Énfasis4 2 2" xfId="1574" xr:uid="{00000000-0005-0000-0000-000073000000}"/>
    <cellStyle name="Énfasis4 3" xfId="120" xr:uid="{00000000-0005-0000-0000-000016010000}"/>
    <cellStyle name="Énfasis4 3 2" xfId="995" xr:uid="{00000000-0005-0000-0000-00006C000000}"/>
    <cellStyle name="Énfasis4 3 3" xfId="1575" xr:uid="{00000000-0005-0000-0000-000074000000}"/>
    <cellStyle name="Énfasis5" xfId="58" builtinId="45" customBuiltin="1"/>
    <cellStyle name="Énfasis5 2" xfId="121" xr:uid="{00000000-0005-0000-0000-000018010000}"/>
    <cellStyle name="Énfasis5 2 2" xfId="1576" xr:uid="{00000000-0005-0000-0000-000075000000}"/>
    <cellStyle name="Énfasis5 3" xfId="122" xr:uid="{00000000-0005-0000-0000-000019010000}"/>
    <cellStyle name="Énfasis5 3 2" xfId="996" xr:uid="{00000000-0005-0000-0000-00006F000000}"/>
    <cellStyle name="Énfasis5 3 3" xfId="1577" xr:uid="{00000000-0005-0000-0000-000076000000}"/>
    <cellStyle name="Énfasis6" xfId="62" builtinId="49" customBuiltin="1"/>
    <cellStyle name="Énfasis6 2" xfId="123" xr:uid="{00000000-0005-0000-0000-00001B010000}"/>
    <cellStyle name="Énfasis6 2 2" xfId="1578" xr:uid="{00000000-0005-0000-0000-000077000000}"/>
    <cellStyle name="Énfasis6 3" xfId="124" xr:uid="{00000000-0005-0000-0000-00001C010000}"/>
    <cellStyle name="Énfasis6 3 2" xfId="997" xr:uid="{00000000-0005-0000-0000-000072000000}"/>
    <cellStyle name="Énfasis6 3 3" xfId="1579" xr:uid="{00000000-0005-0000-0000-000078000000}"/>
    <cellStyle name="Entrada" xfId="34" builtinId="20" customBuiltin="1"/>
    <cellStyle name="Entrada 2" xfId="125" xr:uid="{00000000-0005-0000-0000-00001E010000}"/>
    <cellStyle name="Entrada 2 2" xfId="1022" xr:uid="{00000000-0005-0000-0000-000074000000}"/>
    <cellStyle name="Entrada 2 3" xfId="1580" xr:uid="{00000000-0005-0000-0000-000079000000}"/>
    <cellStyle name="Entrada 3" xfId="126" xr:uid="{00000000-0005-0000-0000-00001F010000}"/>
    <cellStyle name="Entrada 3 2" xfId="998" xr:uid="{00000000-0005-0000-0000-000075000000}"/>
    <cellStyle name="Entrada 3 3" xfId="1581" xr:uid="{00000000-0005-0000-0000-00007A000000}"/>
    <cellStyle name="Estilo 1" xfId="412" xr:uid="{00000000-0005-0000-0000-000020010000}"/>
    <cellStyle name="Estilo 1 2" xfId="1864" xr:uid="{00000000-0005-0000-0000-000096010000}"/>
    <cellStyle name="Euro" xfId="199" xr:uid="{00000000-0005-0000-0000-000021010000}"/>
    <cellStyle name="Euro 2" xfId="200" xr:uid="{00000000-0005-0000-0000-000022010000}"/>
    <cellStyle name="Euro 2 2" xfId="1035" xr:uid="{00000000-0005-0000-0000-00003A000000}"/>
    <cellStyle name="Euro 2 3" xfId="1652" xr:uid="{00000000-0005-0000-0000-0000C1000000}"/>
    <cellStyle name="Euro 3" xfId="1651" xr:uid="{00000000-0005-0000-0000-0000C0000000}"/>
    <cellStyle name="Excel Built-in Normal" xfId="960" xr:uid="{00000000-0005-0000-0000-000078000000}"/>
    <cellStyle name="Explanatory Text" xfId="201" xr:uid="{00000000-0005-0000-0000-000023010000}"/>
    <cellStyle name="Explanatory Text 2" xfId="1134" xr:uid="{00000000-0005-0000-0000-0000B3000000}"/>
    <cellStyle name="Explanatory Text 3" xfId="1653" xr:uid="{00000000-0005-0000-0000-0000C2000000}"/>
    <cellStyle name="Good" xfId="202" xr:uid="{00000000-0005-0000-0000-000024010000}"/>
    <cellStyle name="Good 2" xfId="1654" xr:uid="{00000000-0005-0000-0000-0000C3000000}"/>
    <cellStyle name="Heading 1" xfId="203" xr:uid="{00000000-0005-0000-0000-000025010000}"/>
    <cellStyle name="Heading 1 2" xfId="1655" xr:uid="{00000000-0005-0000-0000-0000C4000000}"/>
    <cellStyle name="Heading 2" xfId="204" xr:uid="{00000000-0005-0000-0000-000026010000}"/>
    <cellStyle name="Heading 2 2" xfId="1096" xr:uid="{00000000-0005-0000-0000-0000B4000000}"/>
    <cellStyle name="Heading 2 3" xfId="1656" xr:uid="{00000000-0005-0000-0000-0000C5000000}"/>
    <cellStyle name="Heading 3" xfId="205" xr:uid="{00000000-0005-0000-0000-000027010000}"/>
    <cellStyle name="Heading 3 2" xfId="1152" xr:uid="{00000000-0005-0000-0000-0000B5000000}"/>
    <cellStyle name="Heading 3 3" xfId="1657" xr:uid="{00000000-0005-0000-0000-0000C6000000}"/>
    <cellStyle name="Heading 4" xfId="206" xr:uid="{00000000-0005-0000-0000-000028010000}"/>
    <cellStyle name="Heading 4 2" xfId="1658" xr:uid="{00000000-0005-0000-0000-0000C7000000}"/>
    <cellStyle name="Hipervínculo" xfId="168" builtinId="8"/>
    <cellStyle name="Hipervínculo 2" xfId="207" xr:uid="{00000000-0005-0000-0000-00002A010000}"/>
    <cellStyle name="Hipervínculo 2 2" xfId="728" xr:uid="{00000000-0005-0000-0000-00002B010000}"/>
    <cellStyle name="Hipervínculo 2 3" xfId="1659" xr:uid="{00000000-0005-0000-0000-0000C8000000}"/>
    <cellStyle name="Incorrecto" xfId="32" builtinId="27" customBuiltin="1"/>
    <cellStyle name="Incorrecto 2" xfId="127" xr:uid="{00000000-0005-0000-0000-00002D010000}"/>
    <cellStyle name="Incorrecto 2 2" xfId="1582" xr:uid="{00000000-0005-0000-0000-00007B000000}"/>
    <cellStyle name="Incorrecto 3" xfId="128" xr:uid="{00000000-0005-0000-0000-00002E010000}"/>
    <cellStyle name="Incorrecto 3 2" xfId="999" xr:uid="{00000000-0005-0000-0000-000082000000}"/>
    <cellStyle name="Incorrecto 3 3" xfId="1583" xr:uid="{00000000-0005-0000-0000-00007C000000}"/>
    <cellStyle name="Input" xfId="208" xr:uid="{00000000-0005-0000-0000-00002F010000}"/>
    <cellStyle name="Input 2" xfId="1023" xr:uid="{00000000-0005-0000-0000-000083000000}"/>
    <cellStyle name="Input 3" xfId="1660" xr:uid="{00000000-0005-0000-0000-0000C9000000}"/>
    <cellStyle name="Linked Cell" xfId="209" xr:uid="{00000000-0005-0000-0000-000030010000}"/>
    <cellStyle name="Linked Cell 2" xfId="1661" xr:uid="{00000000-0005-0000-0000-0000CA000000}"/>
    <cellStyle name="Millares" xfId="1" builtinId="3"/>
    <cellStyle name="Millares 10" xfId="211" xr:uid="{00000000-0005-0000-0000-000032010000}"/>
    <cellStyle name="Millares 10 2" xfId="459" xr:uid="{00000000-0005-0000-0000-000033010000}"/>
    <cellStyle name="Millares 10 2 2" xfId="1911" xr:uid="{00000000-0005-0000-0000-0000C5010000}"/>
    <cellStyle name="Millares 10 3" xfId="680" xr:uid="{00000000-0005-0000-0000-000034010000}"/>
    <cellStyle name="Millares 10 3 2" xfId="2132" xr:uid="{00000000-0005-0000-0000-0000A2020000}"/>
    <cellStyle name="Millares 10 4" xfId="741" xr:uid="{00000000-0005-0000-0000-000035010000}"/>
    <cellStyle name="Millares 10 5" xfId="849" xr:uid="{00000000-0005-0000-0000-00009F000000}"/>
    <cellStyle name="Millares 10 6" xfId="1663" xr:uid="{00000000-0005-0000-0000-0000CC000000}"/>
    <cellStyle name="Millares 11" xfId="212" xr:uid="{00000000-0005-0000-0000-000036010000}"/>
    <cellStyle name="Millares 11 2" xfId="460" xr:uid="{00000000-0005-0000-0000-000037010000}"/>
    <cellStyle name="Millares 11 2 2" xfId="1912" xr:uid="{00000000-0005-0000-0000-0000C6010000}"/>
    <cellStyle name="Millares 11 3" xfId="681" xr:uid="{00000000-0005-0000-0000-000038010000}"/>
    <cellStyle name="Millares 11 3 2" xfId="1039" xr:uid="{00000000-0005-0000-0000-000046000000}"/>
    <cellStyle name="Millares 11 3 3" xfId="2133" xr:uid="{00000000-0005-0000-0000-0000A3020000}"/>
    <cellStyle name="Millares 11 4" xfId="742" xr:uid="{00000000-0005-0000-0000-000039010000}"/>
    <cellStyle name="Millares 11 5" xfId="850" xr:uid="{00000000-0005-0000-0000-0000A0000000}"/>
    <cellStyle name="Millares 11 6" xfId="1664" xr:uid="{00000000-0005-0000-0000-0000CD000000}"/>
    <cellStyle name="Millares 12" xfId="213" xr:uid="{00000000-0005-0000-0000-00003A010000}"/>
    <cellStyle name="Millares 12 2" xfId="461" xr:uid="{00000000-0005-0000-0000-00003B010000}"/>
    <cellStyle name="Millares 12 2 2" xfId="1913" xr:uid="{00000000-0005-0000-0000-0000C7010000}"/>
    <cellStyle name="Millares 12 3" xfId="682" xr:uid="{00000000-0005-0000-0000-00003C010000}"/>
    <cellStyle name="Millares 12 3 2" xfId="1043" xr:uid="{00000000-0005-0000-0000-000048000000}"/>
    <cellStyle name="Millares 12 3 3" xfId="2134" xr:uid="{00000000-0005-0000-0000-0000A4020000}"/>
    <cellStyle name="Millares 12 4" xfId="743" xr:uid="{00000000-0005-0000-0000-00003D010000}"/>
    <cellStyle name="Millares 12 5" xfId="851" xr:uid="{00000000-0005-0000-0000-0000A1000000}"/>
    <cellStyle name="Millares 12 6" xfId="1665" xr:uid="{00000000-0005-0000-0000-0000CE000000}"/>
    <cellStyle name="Millares 13" xfId="214" xr:uid="{00000000-0005-0000-0000-00003E010000}"/>
    <cellStyle name="Millares 13 2" xfId="462" xr:uid="{00000000-0005-0000-0000-00003F010000}"/>
    <cellStyle name="Millares 13 2 2" xfId="1914" xr:uid="{00000000-0005-0000-0000-0000C8010000}"/>
    <cellStyle name="Millares 13 3" xfId="683" xr:uid="{00000000-0005-0000-0000-000040010000}"/>
    <cellStyle name="Millares 13 3 2" xfId="1047" xr:uid="{00000000-0005-0000-0000-000049000000}"/>
    <cellStyle name="Millares 13 3 3" xfId="2135" xr:uid="{00000000-0005-0000-0000-0000A5020000}"/>
    <cellStyle name="Millares 13 4" xfId="744" xr:uid="{00000000-0005-0000-0000-000041010000}"/>
    <cellStyle name="Millares 13 5" xfId="852" xr:uid="{00000000-0005-0000-0000-0000A2000000}"/>
    <cellStyle name="Millares 13 6" xfId="1666" xr:uid="{00000000-0005-0000-0000-0000CF000000}"/>
    <cellStyle name="Millares 14" xfId="210" xr:uid="{00000000-0005-0000-0000-000042010000}"/>
    <cellStyle name="Millares 14 2" xfId="458" xr:uid="{00000000-0005-0000-0000-000043010000}"/>
    <cellStyle name="Millares 14 2 2" xfId="1051" xr:uid="{00000000-0005-0000-0000-00004A000000}"/>
    <cellStyle name="Millares 14 2 3" xfId="1910" xr:uid="{00000000-0005-0000-0000-0000C4010000}"/>
    <cellStyle name="Millares 14 3" xfId="1662" xr:uid="{00000000-0005-0000-0000-0000CB000000}"/>
    <cellStyle name="Millares 15" xfId="244" xr:uid="{00000000-0005-0000-0000-000044010000}"/>
    <cellStyle name="Millares 15 10" xfId="1697" xr:uid="{00000000-0005-0000-0000-0000EE000000}"/>
    <cellStyle name="Millares 15 11" xfId="2202" xr:uid="{00000000-0005-0000-0000-0000BE000000}"/>
    <cellStyle name="Millares 15 12" xfId="2455" xr:uid="{623ED1CB-CA77-4859-B937-2FC87CAB94DE}"/>
    <cellStyle name="Millares 15 2" xfId="395" xr:uid="{00000000-0005-0000-0000-000045010000}"/>
    <cellStyle name="Millares 15 2 2" xfId="622" xr:uid="{00000000-0005-0000-0000-000046010000}"/>
    <cellStyle name="Millares 15 2 2 2" xfId="2074" xr:uid="{00000000-0005-0000-0000-000068020000}"/>
    <cellStyle name="Millares 15 2 3" xfId="1055" xr:uid="{00000000-0005-0000-0000-00004B000000}"/>
    <cellStyle name="Millares 15 2 4" xfId="1291" xr:uid="{00000000-0005-0000-0000-0000BF000000}"/>
    <cellStyle name="Millares 15 2 5" xfId="1847" xr:uid="{00000000-0005-0000-0000-000085010000}"/>
    <cellStyle name="Millares 15 2 6" xfId="2325" xr:uid="{00000000-0005-0000-0000-0000BF000000}"/>
    <cellStyle name="Millares 15 2 7" xfId="2591" xr:uid="{7297A93B-33C4-4E24-BB9E-F271FD02EB6D}"/>
    <cellStyle name="Millares 15 3" xfId="476" xr:uid="{00000000-0005-0000-0000-000047010000}"/>
    <cellStyle name="Millares 15 3 2" xfId="1928" xr:uid="{00000000-0005-0000-0000-0000D6010000}"/>
    <cellStyle name="Millares 15 4" xfId="697" xr:uid="{00000000-0005-0000-0000-000048010000}"/>
    <cellStyle name="Millares 15 4 2" xfId="2149" xr:uid="{00000000-0005-0000-0000-0000B3020000}"/>
    <cellStyle name="Millares 15 5" xfId="745" xr:uid="{00000000-0005-0000-0000-000049010000}"/>
    <cellStyle name="Millares 15 6" xfId="866" xr:uid="{00000000-0005-0000-0000-0000A4000000}"/>
    <cellStyle name="Millares 15 7" xfId="956" xr:uid="{00000000-0005-0000-0000-00008B000000}"/>
    <cellStyle name="Millares 15 8" xfId="1159" xr:uid="{00000000-0005-0000-0000-0000A4000000}"/>
    <cellStyle name="Millares 15 9" xfId="1427" xr:uid="{00000000-0005-0000-0000-0000A4000000}"/>
    <cellStyle name="Millares 16" xfId="252" xr:uid="{00000000-0005-0000-0000-00004A010000}"/>
    <cellStyle name="Millares 16 10" xfId="1705" xr:uid="{00000000-0005-0000-0000-0000F6000000}"/>
    <cellStyle name="Millares 16 11" xfId="2208" xr:uid="{00000000-0005-0000-0000-0000C0000000}"/>
    <cellStyle name="Millares 16 12" xfId="2462" xr:uid="{096F04F2-5820-42C6-8905-05F124B9BBE4}"/>
    <cellStyle name="Millares 16 2" xfId="401" xr:uid="{00000000-0005-0000-0000-00004B010000}"/>
    <cellStyle name="Millares 16 2 2" xfId="628" xr:uid="{00000000-0005-0000-0000-00004C010000}"/>
    <cellStyle name="Millares 16 2 2 2" xfId="2080" xr:uid="{00000000-0005-0000-0000-00006E020000}"/>
    <cellStyle name="Millares 16 2 3" xfId="1059" xr:uid="{00000000-0005-0000-0000-00004C000000}"/>
    <cellStyle name="Millares 16 2 4" xfId="1297" xr:uid="{00000000-0005-0000-0000-0000C1000000}"/>
    <cellStyle name="Millares 16 2 5" xfId="1853" xr:uid="{00000000-0005-0000-0000-00008B010000}"/>
    <cellStyle name="Millares 16 2 6" xfId="2331" xr:uid="{00000000-0005-0000-0000-0000C1000000}"/>
    <cellStyle name="Millares 16 2 7" xfId="2597" xr:uid="{230BC913-6E65-4BD2-BE39-FB072DC7A8BA}"/>
    <cellStyle name="Millares 16 3" xfId="482" xr:uid="{00000000-0005-0000-0000-00004D010000}"/>
    <cellStyle name="Millares 16 3 2" xfId="1934" xr:uid="{00000000-0005-0000-0000-0000DC010000}"/>
    <cellStyle name="Millares 16 4" xfId="703" xr:uid="{00000000-0005-0000-0000-00004E010000}"/>
    <cellStyle name="Millares 16 4 2" xfId="2155" xr:uid="{00000000-0005-0000-0000-0000B9020000}"/>
    <cellStyle name="Millares 16 5" xfId="746" xr:uid="{00000000-0005-0000-0000-00004F010000}"/>
    <cellStyle name="Millares 16 6" xfId="872" xr:uid="{00000000-0005-0000-0000-0000A5000000}"/>
    <cellStyle name="Millares 16 7" xfId="952" xr:uid="{00000000-0005-0000-0000-00009B000000}"/>
    <cellStyle name="Millares 16 8" xfId="1166" xr:uid="{00000000-0005-0000-0000-0000A5000000}"/>
    <cellStyle name="Millares 16 9" xfId="1433" xr:uid="{00000000-0005-0000-0000-0000A5000000}"/>
    <cellStyle name="Millares 17" xfId="257" xr:uid="{00000000-0005-0000-0000-000050010000}"/>
    <cellStyle name="Millares 17 10" xfId="1437" xr:uid="{00000000-0005-0000-0000-0000A6000000}"/>
    <cellStyle name="Millares 17 11" xfId="1710" xr:uid="{00000000-0005-0000-0000-0000FB000000}"/>
    <cellStyle name="Millares 17 12" xfId="2212" xr:uid="{00000000-0005-0000-0000-0000C2000000}"/>
    <cellStyle name="Millares 17 13" xfId="2467" xr:uid="{B1D89995-6616-4995-BC5F-AE886CACEC6E}"/>
    <cellStyle name="Millares 17 2" xfId="261" xr:uid="{00000000-0005-0000-0000-000051010000}"/>
    <cellStyle name="Millares 17 2 10" xfId="2216" xr:uid="{00000000-0005-0000-0000-0000C3000000}"/>
    <cellStyle name="Millares 17 2 11" xfId="2471" xr:uid="{110CB168-F784-418A-8E38-73F547D56355}"/>
    <cellStyle name="Millares 17 2 2" xfId="409" xr:uid="{00000000-0005-0000-0000-000052010000}"/>
    <cellStyle name="Millares 17 2 2 2" xfId="636" xr:uid="{00000000-0005-0000-0000-000053010000}"/>
    <cellStyle name="Millares 17 2 2 2 2" xfId="2088" xr:uid="{00000000-0005-0000-0000-000076020000}"/>
    <cellStyle name="Millares 17 2 2 3" xfId="1305" xr:uid="{00000000-0005-0000-0000-0000C4000000}"/>
    <cellStyle name="Millares 17 2 2 4" xfId="1861" xr:uid="{00000000-0005-0000-0000-000093010000}"/>
    <cellStyle name="Millares 17 2 2 5" xfId="2339" xr:uid="{00000000-0005-0000-0000-0000C4000000}"/>
    <cellStyle name="Millares 17 2 2 6" xfId="2605" xr:uid="{D63CF56C-022E-4A85-8A81-0E709FF8452D}"/>
    <cellStyle name="Millares 17 2 3" xfId="490" xr:uid="{00000000-0005-0000-0000-000054010000}"/>
    <cellStyle name="Millares 17 2 3 2" xfId="1942" xr:uid="{00000000-0005-0000-0000-0000E4010000}"/>
    <cellStyle name="Millares 17 2 4" xfId="711" xr:uid="{00000000-0005-0000-0000-000055010000}"/>
    <cellStyle name="Millares 17 2 4 2" xfId="2163" xr:uid="{00000000-0005-0000-0000-0000C1020000}"/>
    <cellStyle name="Millares 17 2 5" xfId="748" xr:uid="{00000000-0005-0000-0000-000056010000}"/>
    <cellStyle name="Millares 17 2 6" xfId="880" xr:uid="{00000000-0005-0000-0000-0000A7000000}"/>
    <cellStyle name="Millares 17 2 7" xfId="1175" xr:uid="{00000000-0005-0000-0000-0000A7000000}"/>
    <cellStyle name="Millares 17 2 8" xfId="1441" xr:uid="{00000000-0005-0000-0000-0000A7000000}"/>
    <cellStyle name="Millares 17 2 9" xfId="1714" xr:uid="{00000000-0005-0000-0000-0000FF000000}"/>
    <cellStyle name="Millares 17 3" xfId="405" xr:uid="{00000000-0005-0000-0000-000057010000}"/>
    <cellStyle name="Millares 17 3 2" xfId="632" xr:uid="{00000000-0005-0000-0000-000058010000}"/>
    <cellStyle name="Millares 17 3 2 2" xfId="2084" xr:uid="{00000000-0005-0000-0000-000072020000}"/>
    <cellStyle name="Millares 17 3 3" xfId="1301" xr:uid="{00000000-0005-0000-0000-0000C5000000}"/>
    <cellStyle name="Millares 17 3 4" xfId="1857" xr:uid="{00000000-0005-0000-0000-00008F010000}"/>
    <cellStyle name="Millares 17 3 5" xfId="2335" xr:uid="{00000000-0005-0000-0000-0000C5000000}"/>
    <cellStyle name="Millares 17 3 6" xfId="2601" xr:uid="{4BF96BE3-9050-4889-B2F9-F28F79D37EE9}"/>
    <cellStyle name="Millares 17 4" xfId="486" xr:uid="{00000000-0005-0000-0000-000059010000}"/>
    <cellStyle name="Millares 17 4 2" xfId="1938" xr:uid="{00000000-0005-0000-0000-0000E0010000}"/>
    <cellStyle name="Millares 17 5" xfId="707" xr:uid="{00000000-0005-0000-0000-00005A010000}"/>
    <cellStyle name="Millares 17 5 2" xfId="2159" xr:uid="{00000000-0005-0000-0000-0000BD020000}"/>
    <cellStyle name="Millares 17 6" xfId="747" xr:uid="{00000000-0005-0000-0000-00005B010000}"/>
    <cellStyle name="Millares 17 7" xfId="876" xr:uid="{00000000-0005-0000-0000-0000A6000000}"/>
    <cellStyle name="Millares 17 8" xfId="1063" xr:uid="{00000000-0005-0000-0000-00004D000000}"/>
    <cellStyle name="Millares 17 9" xfId="1171" xr:uid="{00000000-0005-0000-0000-0000A6000000}"/>
    <cellStyle name="Millares 18" xfId="299" xr:uid="{00000000-0005-0000-0000-00005C010000}"/>
    <cellStyle name="Millares 18 2" xfId="528" xr:uid="{00000000-0005-0000-0000-00005D010000}"/>
    <cellStyle name="Millares 18 2 2" xfId="1341" xr:uid="{00000000-0005-0000-0000-0000C7000000}"/>
    <cellStyle name="Millares 18 2 3" xfId="1980" xr:uid="{00000000-0005-0000-0000-00000A020000}"/>
    <cellStyle name="Millares 18 2 4" xfId="2377" xr:uid="{00000000-0005-0000-0000-0000C7000000}"/>
    <cellStyle name="Millares 18 2 5" xfId="2641" xr:uid="{ECEC2D35-C6ED-43B0-8230-F5C4800A856B}"/>
    <cellStyle name="Millares 18 3" xfId="918" xr:uid="{00000000-0005-0000-0000-0000A8000000}"/>
    <cellStyle name="Millares 18 4" xfId="1067" xr:uid="{00000000-0005-0000-0000-00004E000000}"/>
    <cellStyle name="Millares 18 5" xfId="1213" xr:uid="{00000000-0005-0000-0000-0000A8000000}"/>
    <cellStyle name="Millares 18 6" xfId="1479" xr:uid="{00000000-0005-0000-0000-0000A8000000}"/>
    <cellStyle name="Millares 18 7" xfId="1752" xr:uid="{00000000-0005-0000-0000-000025010000}"/>
    <cellStyle name="Millares 18 8" xfId="2254" xr:uid="{00000000-0005-0000-0000-0000C6000000}"/>
    <cellStyle name="Millares 18 9" xfId="2509" xr:uid="{399EE8AA-97A2-4EC2-AF31-67C8A321A3FA}"/>
    <cellStyle name="Millares 19" xfId="418" xr:uid="{00000000-0005-0000-0000-00005E010000}"/>
    <cellStyle name="Millares 19 2" xfId="928" xr:uid="{00000000-0005-0000-0000-0000A9000000}"/>
    <cellStyle name="Millares 19 3" xfId="1071" xr:uid="{00000000-0005-0000-0000-00004F000000}"/>
    <cellStyle name="Millares 19 4" xfId="1223" xr:uid="{00000000-0005-0000-0000-0000A9000000}"/>
    <cellStyle name="Millares 19 5" xfId="1489" xr:uid="{00000000-0005-0000-0000-0000A9000000}"/>
    <cellStyle name="Millares 19 6" xfId="1870" xr:uid="{00000000-0005-0000-0000-00009C010000}"/>
    <cellStyle name="Millares 19 7" xfId="2286" xr:uid="{00000000-0005-0000-0000-0000C8000000}"/>
    <cellStyle name="Millares 19 8" xfId="2519" xr:uid="{6B864144-711B-496B-A52C-EEC50A49DCD9}"/>
    <cellStyle name="Millares 2" xfId="4" xr:uid="{00000000-0005-0000-0000-00005F010000}"/>
    <cellStyle name="Millares 2 10" xfId="1065" xr:uid="{00000000-0005-0000-0000-000051000000}"/>
    <cellStyle name="Millares 2 11" xfId="1069" xr:uid="{00000000-0005-0000-0000-000052000000}"/>
    <cellStyle name="Millares 2 12" xfId="1073" xr:uid="{00000000-0005-0000-0000-000053000000}"/>
    <cellStyle name="Millares 2 13" xfId="1077" xr:uid="{00000000-0005-0000-0000-000054000000}"/>
    <cellStyle name="Millares 2 14" xfId="1081" xr:uid="{00000000-0005-0000-0000-000055000000}"/>
    <cellStyle name="Millares 2 15" xfId="1085" xr:uid="{00000000-0005-0000-0000-000056000000}"/>
    <cellStyle name="Millares 2 16" xfId="1089" xr:uid="{22103685-B53D-4B42-BC3F-64F546B268E1}"/>
    <cellStyle name="Millares 2 17" xfId="1502" xr:uid="{00000000-0005-0000-0000-000003000000}"/>
    <cellStyle name="Millares 2 2" xfId="19" xr:uid="{00000000-0005-0000-0000-000060010000}"/>
    <cellStyle name="Millares 2 2 2" xfId="130" xr:uid="{00000000-0005-0000-0000-000061010000}"/>
    <cellStyle name="Millares 2 2 2 2" xfId="445" xr:uid="{00000000-0005-0000-0000-000062010000}"/>
    <cellStyle name="Millares 2 2 2 2 2" xfId="1897" xr:uid="{00000000-0005-0000-0000-0000B7010000}"/>
    <cellStyle name="Millares 2 2 2 3" xfId="667" xr:uid="{00000000-0005-0000-0000-000063010000}"/>
    <cellStyle name="Millares 2 2 2 3 2" xfId="2119" xr:uid="{00000000-0005-0000-0000-000095020000}"/>
    <cellStyle name="Millares 2 2 2 4" xfId="750" xr:uid="{00000000-0005-0000-0000-000064010000}"/>
    <cellStyle name="Millares 2 2 2 5" xfId="836" xr:uid="{00000000-0005-0000-0000-0000AC000000}"/>
    <cellStyle name="Millares 2 2 2 6" xfId="1585" xr:uid="{00000000-0005-0000-0000-00007E000000}"/>
    <cellStyle name="Millares 2 2 3" xfId="1034" xr:uid="{00000000-0005-0000-0000-000057000000}"/>
    <cellStyle name="Millares 2 2 4" xfId="1513" xr:uid="{00000000-0005-0000-0000-00000F000000}"/>
    <cellStyle name="Millares 2 3" xfId="419" xr:uid="{00000000-0005-0000-0000-000065010000}"/>
    <cellStyle name="Millares 2 3 2" xfId="933" xr:uid="{00000000-0005-0000-0000-0000AD000000}"/>
    <cellStyle name="Millares 2 3 3" xfId="1228" xr:uid="{00000000-0005-0000-0000-0000AD000000}"/>
    <cellStyle name="Millares 2 3 4" xfId="1279" xr:uid="{00000000-0005-0000-0000-0000CC000000}"/>
    <cellStyle name="Millares 2 3 5" xfId="1871" xr:uid="{00000000-0005-0000-0000-00009D010000}"/>
    <cellStyle name="Millares 2 3 6" xfId="2313" xr:uid="{00000000-0005-0000-0000-0000CC000000}"/>
    <cellStyle name="Millares 2 3 7" xfId="2579" xr:uid="{094D4CDA-28D4-486F-B4B5-07E6A05FD0FB}"/>
    <cellStyle name="Millares 2 4" xfId="643" xr:uid="{00000000-0005-0000-0000-000066010000}"/>
    <cellStyle name="Millares 2 4 2" xfId="935" xr:uid="{00000000-0005-0000-0000-0000AE000000}"/>
    <cellStyle name="Millares 2 4 3" xfId="1041" xr:uid="{00000000-0005-0000-0000-000059000000}"/>
    <cellStyle name="Millares 2 4 4" xfId="1230" xr:uid="{00000000-0005-0000-0000-0000AE000000}"/>
    <cellStyle name="Millares 2 4 5" xfId="1495" xr:uid="{00000000-0005-0000-0000-0000AE000000}"/>
    <cellStyle name="Millares 2 4 6" xfId="2095" xr:uid="{00000000-0005-0000-0000-00007D020000}"/>
    <cellStyle name="Millares 2 4 7" xfId="2525" xr:uid="{72EC9029-F7B6-4B05-A750-A9352F358615}"/>
    <cellStyle name="Millares 2 5" xfId="749" xr:uid="{00000000-0005-0000-0000-000067010000}"/>
    <cellStyle name="Millares 2 5 2" xfId="1045" xr:uid="{00000000-0005-0000-0000-00005A000000}"/>
    <cellStyle name="Millares 2 6" xfId="812" xr:uid="{00000000-0005-0000-0000-0000AA000000}"/>
    <cellStyle name="Millares 2 6 2" xfId="1049" xr:uid="{00000000-0005-0000-0000-00005B000000}"/>
    <cellStyle name="Millares 2 7" xfId="1053" xr:uid="{00000000-0005-0000-0000-00005C000000}"/>
    <cellStyle name="Millares 2 8" xfId="1057" xr:uid="{00000000-0005-0000-0000-00005D000000}"/>
    <cellStyle name="Millares 2 9" xfId="1061" xr:uid="{00000000-0005-0000-0000-00005E000000}"/>
    <cellStyle name="Millares 2_LIQ.MENSUAL." xfId="1667" xr:uid="{00000000-0005-0000-0000-0000D0000000}"/>
    <cellStyle name="Millares 20" xfId="17" xr:uid="{00000000-0005-0000-0000-000069010000}"/>
    <cellStyle name="Millares 20 2" xfId="1075" xr:uid="{00000000-0005-0000-0000-000061000000}"/>
    <cellStyle name="Millares 20 3" xfId="1511" xr:uid="{00000000-0005-0000-0000-00000D000000}"/>
    <cellStyle name="Millares 21" xfId="938" xr:uid="{00000000-0005-0000-0000-0000B1000000}"/>
    <cellStyle name="Millares 21 2" xfId="1079" xr:uid="{00000000-0005-0000-0000-000062000000}"/>
    <cellStyle name="Millares 21 3" xfId="1233" xr:uid="{00000000-0005-0000-0000-0000B1000000}"/>
    <cellStyle name="Millares 21 4" xfId="1498" xr:uid="{00000000-0005-0000-0000-0000B1000000}"/>
    <cellStyle name="Millares 21 5" xfId="2528" xr:uid="{9804B7E7-CAD2-4AFD-96A2-B8136707AAEB}"/>
    <cellStyle name="Millares 22" xfId="1083" xr:uid="{00000000-0005-0000-0000-000063000000}"/>
    <cellStyle name="Millares 23" xfId="1087" xr:uid="{F865F432-7ECA-4D72-B841-AFE7B8DFCD0D}"/>
    <cellStyle name="Millares 24" xfId="1091" xr:uid="{8E6F9CAD-01F9-48E1-ABFE-0EC5E3B3813B}"/>
    <cellStyle name="Millares 3" xfId="10" xr:uid="{00000000-0005-0000-0000-00006A010000}"/>
    <cellStyle name="Millares 3 2" xfId="132" xr:uid="{00000000-0005-0000-0000-00006B010000}"/>
    <cellStyle name="Millares 3 2 2" xfId="133" xr:uid="{00000000-0005-0000-0000-00006C010000}"/>
    <cellStyle name="Millares 3 2 2 2" xfId="217" xr:uid="{00000000-0005-0000-0000-00006D010000}"/>
    <cellStyle name="Millares 3 2 2 2 2" xfId="1670" xr:uid="{00000000-0005-0000-0000-0000D3000000}"/>
    <cellStyle name="Millares 3 2 2 3" xfId="448" xr:uid="{00000000-0005-0000-0000-00006E010000}"/>
    <cellStyle name="Millares 3 2 2 3 2" xfId="1900" xr:uid="{00000000-0005-0000-0000-0000BA010000}"/>
    <cellStyle name="Millares 3 2 2 4" xfId="670" xr:uid="{00000000-0005-0000-0000-00006F010000}"/>
    <cellStyle name="Millares 3 2 2 4 2" xfId="2122" xr:uid="{00000000-0005-0000-0000-000098020000}"/>
    <cellStyle name="Millares 3 2 2 5" xfId="752" xr:uid="{00000000-0005-0000-0000-000070010000}"/>
    <cellStyle name="Millares 3 2 2 6" xfId="839" xr:uid="{00000000-0005-0000-0000-0000B4000000}"/>
    <cellStyle name="Millares 3 2 2 7" xfId="1588" xr:uid="{00000000-0005-0000-0000-000081000000}"/>
    <cellStyle name="Millares 3 2 3" xfId="216" xr:uid="{00000000-0005-0000-0000-000071010000}"/>
    <cellStyle name="Millares 3 2 3 2" xfId="1669" xr:uid="{00000000-0005-0000-0000-0000D2000000}"/>
    <cellStyle name="Millares 3 2 4" xfId="447" xr:uid="{00000000-0005-0000-0000-000072010000}"/>
    <cellStyle name="Millares 3 2 4 2" xfId="1899" xr:uid="{00000000-0005-0000-0000-0000B9010000}"/>
    <cellStyle name="Millares 3 2 5" xfId="669" xr:uid="{00000000-0005-0000-0000-000073010000}"/>
    <cellStyle name="Millares 3 2 5 2" xfId="2121" xr:uid="{00000000-0005-0000-0000-000097020000}"/>
    <cellStyle name="Millares 3 2 6" xfId="751" xr:uid="{00000000-0005-0000-0000-000074010000}"/>
    <cellStyle name="Millares 3 2 7" xfId="838" xr:uid="{00000000-0005-0000-0000-0000B3000000}"/>
    <cellStyle name="Millares 3 2 8" xfId="1587" xr:uid="{00000000-0005-0000-0000-000080000000}"/>
    <cellStyle name="Millares 3 3" xfId="134" xr:uid="{00000000-0005-0000-0000-000075010000}"/>
    <cellStyle name="Millares 3 3 2" xfId="449" xr:uid="{00000000-0005-0000-0000-000076010000}"/>
    <cellStyle name="Millares 3 3 2 2" xfId="1901" xr:uid="{00000000-0005-0000-0000-0000BB010000}"/>
    <cellStyle name="Millares 3 3 3" xfId="671" xr:uid="{00000000-0005-0000-0000-000077010000}"/>
    <cellStyle name="Millares 3 3 3 2" xfId="2123" xr:uid="{00000000-0005-0000-0000-000099020000}"/>
    <cellStyle name="Millares 3 3 4" xfId="753" xr:uid="{00000000-0005-0000-0000-000078010000}"/>
    <cellStyle name="Millares 3 3 5" xfId="840" xr:uid="{00000000-0005-0000-0000-0000B7000000}"/>
    <cellStyle name="Millares 3 3 6" xfId="1589" xr:uid="{00000000-0005-0000-0000-000082000000}"/>
    <cellStyle name="Millares 3 4" xfId="131" xr:uid="{00000000-0005-0000-0000-000079010000}"/>
    <cellStyle name="Millares 3 4 2" xfId="446" xr:uid="{00000000-0005-0000-0000-00007A010000}"/>
    <cellStyle name="Millares 3 4 2 2" xfId="1030" xr:uid="{00000000-0005-0000-0000-00009B000000}"/>
    <cellStyle name="Millares 3 4 2 3" xfId="1898" xr:uid="{00000000-0005-0000-0000-0000B8010000}"/>
    <cellStyle name="Millares 3 4 3" xfId="668" xr:uid="{00000000-0005-0000-0000-00007B010000}"/>
    <cellStyle name="Millares 3 4 3 2" xfId="2120" xr:uid="{00000000-0005-0000-0000-000096020000}"/>
    <cellStyle name="Millares 3 4 4" xfId="754" xr:uid="{00000000-0005-0000-0000-00007C010000}"/>
    <cellStyle name="Millares 3 4 5" xfId="837" xr:uid="{00000000-0005-0000-0000-0000B8000000}"/>
    <cellStyle name="Millares 3 4 6" xfId="958" xr:uid="{00000000-0005-0000-0000-000093000000}"/>
    <cellStyle name="Millares 3 4 7" xfId="1586" xr:uid="{00000000-0005-0000-0000-00007F000000}"/>
    <cellStyle name="Millares 3 5" xfId="215" xr:uid="{00000000-0005-0000-0000-00007D010000}"/>
    <cellStyle name="Millares 3 5 2" xfId="1668" xr:uid="{00000000-0005-0000-0000-0000D1000000}"/>
    <cellStyle name="Millares 3 6" xfId="421" xr:uid="{00000000-0005-0000-0000-00007E010000}"/>
    <cellStyle name="Millares 3 6 2" xfId="1873" xr:uid="{00000000-0005-0000-0000-00009F010000}"/>
    <cellStyle name="Millares 3 7" xfId="1504" xr:uid="{00000000-0005-0000-0000-000006000000}"/>
    <cellStyle name="Millares 4" xfId="11" xr:uid="{00000000-0005-0000-0000-00007F010000}"/>
    <cellStyle name="Millares 4 2" xfId="135" xr:uid="{00000000-0005-0000-0000-000080010000}"/>
    <cellStyle name="Millares 4 2 2" xfId="450" xr:uid="{00000000-0005-0000-0000-000081010000}"/>
    <cellStyle name="Millares 4 2 2 2" xfId="1902" xr:uid="{00000000-0005-0000-0000-0000BC010000}"/>
    <cellStyle name="Millares 4 2 3" xfId="672" xr:uid="{00000000-0005-0000-0000-000082010000}"/>
    <cellStyle name="Millares 4 2 3 2" xfId="2124" xr:uid="{00000000-0005-0000-0000-00009A020000}"/>
    <cellStyle name="Millares 4 2 4" xfId="755" xr:uid="{00000000-0005-0000-0000-000083010000}"/>
    <cellStyle name="Millares 4 2 5" xfId="841" xr:uid="{00000000-0005-0000-0000-0000BB000000}"/>
    <cellStyle name="Millares 4 2 6" xfId="1590" xr:uid="{00000000-0005-0000-0000-000083000000}"/>
    <cellStyle name="Millares 4 3" xfId="218" xr:uid="{00000000-0005-0000-0000-000084010000}"/>
    <cellStyle name="Millares 4 3 2" xfId="1671" xr:uid="{00000000-0005-0000-0000-0000D4000000}"/>
    <cellStyle name="Millares 4 4" xfId="422" xr:uid="{00000000-0005-0000-0000-000085010000}"/>
    <cellStyle name="Millares 4 4 2" xfId="1874" xr:uid="{00000000-0005-0000-0000-0000A0010000}"/>
    <cellStyle name="Millares 4 5" xfId="1505" xr:uid="{00000000-0005-0000-0000-000007000000}"/>
    <cellStyle name="Millares 5" xfId="13" xr:uid="{00000000-0005-0000-0000-000086010000}"/>
    <cellStyle name="Millares 5 10" xfId="1099" xr:uid="{00000000-0005-0000-0000-0000BD000000}"/>
    <cellStyle name="Millares 5 11" xfId="1391" xr:uid="{00000000-0005-0000-0000-0000BD000000}"/>
    <cellStyle name="Millares 5 12" xfId="1507" xr:uid="{00000000-0005-0000-0000-000009000000}"/>
    <cellStyle name="Millares 5 13" xfId="2166" xr:uid="{00000000-0005-0000-0000-0000DA000000}"/>
    <cellStyle name="Millares 5 14" xfId="2415" xr:uid="{6A992231-181C-4269-9011-7DADF69AC68F}"/>
    <cellStyle name="Millares 5 2" xfId="136" xr:uid="{00000000-0005-0000-0000-000087010000}"/>
    <cellStyle name="Millares 5 2 2" xfId="451" xr:uid="{00000000-0005-0000-0000-000088010000}"/>
    <cellStyle name="Millares 5 2 2 2" xfId="1903" xr:uid="{00000000-0005-0000-0000-0000BD010000}"/>
    <cellStyle name="Millares 5 2 3" xfId="673" xr:uid="{00000000-0005-0000-0000-000089010000}"/>
    <cellStyle name="Millares 5 2 3 2" xfId="2125" xr:uid="{00000000-0005-0000-0000-00009B020000}"/>
    <cellStyle name="Millares 5 2 4" xfId="757" xr:uid="{00000000-0005-0000-0000-00008A010000}"/>
    <cellStyle name="Millares 5 2 5" xfId="842" xr:uid="{00000000-0005-0000-0000-0000BE000000}"/>
    <cellStyle name="Millares 5 2 6" xfId="1591" xr:uid="{00000000-0005-0000-0000-000084000000}"/>
    <cellStyle name="Millares 5 3" xfId="219" xr:uid="{00000000-0005-0000-0000-00008B010000}"/>
    <cellStyle name="Millares 5 3 2" xfId="463" xr:uid="{00000000-0005-0000-0000-00008C010000}"/>
    <cellStyle name="Millares 5 3 2 2" xfId="1915" xr:uid="{00000000-0005-0000-0000-0000C9010000}"/>
    <cellStyle name="Millares 5 3 3" xfId="684" xr:uid="{00000000-0005-0000-0000-00008D010000}"/>
    <cellStyle name="Millares 5 3 3 2" xfId="2136" xr:uid="{00000000-0005-0000-0000-0000A6020000}"/>
    <cellStyle name="Millares 5 3 4" xfId="758" xr:uid="{00000000-0005-0000-0000-00008E010000}"/>
    <cellStyle name="Millares 5 3 5" xfId="853" xr:uid="{00000000-0005-0000-0000-0000BF000000}"/>
    <cellStyle name="Millares 5 3 6" xfId="1672" xr:uid="{00000000-0005-0000-0000-0000D5000000}"/>
    <cellStyle name="Millares 5 4" xfId="284" xr:uid="{00000000-0005-0000-0000-00008F010000}"/>
    <cellStyle name="Millares 5 4 10" xfId="2494" xr:uid="{92A87F44-19C2-48A9-AF1C-7B439C32EA4A}"/>
    <cellStyle name="Millares 5 4 2" xfId="513" xr:uid="{00000000-0005-0000-0000-000090010000}"/>
    <cellStyle name="Millares 5 4 2 2" xfId="931" xr:uid="{00000000-0005-0000-0000-0000C1000000}"/>
    <cellStyle name="Millares 5 4 2 3" xfId="1226" xr:uid="{00000000-0005-0000-0000-0000C1000000}"/>
    <cellStyle name="Millares 5 4 2 4" xfId="1492" xr:uid="{00000000-0005-0000-0000-0000C1000000}"/>
    <cellStyle name="Millares 5 4 2 5" xfId="1965" xr:uid="{00000000-0005-0000-0000-0000FB010000}"/>
    <cellStyle name="Millares 5 4 2 6" xfId="2362" xr:uid="{00000000-0005-0000-0000-0000DE000000}"/>
    <cellStyle name="Millares 5 4 2 7" xfId="2522" xr:uid="{B9B295EA-A0D3-4D08-B088-3A95D37AF94A}"/>
    <cellStyle name="Millares 5 4 3" xfId="759" xr:uid="{00000000-0005-0000-0000-000091010000}"/>
    <cellStyle name="Millares 5 4 4" xfId="903" xr:uid="{00000000-0005-0000-0000-0000C0000000}"/>
    <cellStyle name="Millares 5 4 5" xfId="1031" xr:uid="{00000000-0005-0000-0000-0000A2000000}"/>
    <cellStyle name="Millares 5 4 6" xfId="1198" xr:uid="{00000000-0005-0000-0000-0000C0000000}"/>
    <cellStyle name="Millares 5 4 7" xfId="1464" xr:uid="{00000000-0005-0000-0000-0000C0000000}"/>
    <cellStyle name="Millares 5 4 8" xfId="1737" xr:uid="{00000000-0005-0000-0000-000016010000}"/>
    <cellStyle name="Millares 5 4 9" xfId="2239" xr:uid="{00000000-0005-0000-0000-0000DD000000}"/>
    <cellStyle name="Millares 5 5" xfId="359" xr:uid="{00000000-0005-0000-0000-000092010000}"/>
    <cellStyle name="Millares 5 5 2" xfId="586" xr:uid="{00000000-0005-0000-0000-000093010000}"/>
    <cellStyle name="Millares 5 5 2 2" xfId="2038" xr:uid="{00000000-0005-0000-0000-000044020000}"/>
    <cellStyle name="Millares 5 5 3" xfId="1266" xr:uid="{00000000-0005-0000-0000-0000DF000000}"/>
    <cellStyle name="Millares 5 5 4" xfId="1811" xr:uid="{00000000-0005-0000-0000-000061010000}"/>
    <cellStyle name="Millares 5 5 5" xfId="2300" xr:uid="{00000000-0005-0000-0000-0000DF000000}"/>
    <cellStyle name="Millares 5 5 6" xfId="2566" xr:uid="{74E48ACF-4A5E-4F74-825D-C410CCE4FB35}"/>
    <cellStyle name="Millares 5 6" xfId="423" xr:uid="{00000000-0005-0000-0000-000094010000}"/>
    <cellStyle name="Millares 5 6 2" xfId="1875" xr:uid="{00000000-0005-0000-0000-0000A1010000}"/>
    <cellStyle name="Millares 5 7" xfId="645" xr:uid="{00000000-0005-0000-0000-000095010000}"/>
    <cellStyle name="Millares 5 7 2" xfId="2097" xr:uid="{00000000-0005-0000-0000-00007F020000}"/>
    <cellStyle name="Millares 5 8" xfId="756" xr:uid="{00000000-0005-0000-0000-000096010000}"/>
    <cellStyle name="Millares 5 9" xfId="814" xr:uid="{00000000-0005-0000-0000-0000BD000000}"/>
    <cellStyle name="Millares 6" xfId="18" xr:uid="{00000000-0005-0000-0000-000097010000}"/>
    <cellStyle name="Millares 6 2" xfId="137" xr:uid="{00000000-0005-0000-0000-000098010000}"/>
    <cellStyle name="Millares 6 2 2" xfId="452" xr:uid="{00000000-0005-0000-0000-000099010000}"/>
    <cellStyle name="Millares 6 2 2 2" xfId="1904" xr:uid="{00000000-0005-0000-0000-0000BE010000}"/>
    <cellStyle name="Millares 6 2 3" xfId="674" xr:uid="{00000000-0005-0000-0000-00009A010000}"/>
    <cellStyle name="Millares 6 2 3 2" xfId="2126" xr:uid="{00000000-0005-0000-0000-00009C020000}"/>
    <cellStyle name="Millares 6 2 4" xfId="760" xr:uid="{00000000-0005-0000-0000-00009B010000}"/>
    <cellStyle name="Millares 6 2 5" xfId="843" xr:uid="{00000000-0005-0000-0000-0000C3000000}"/>
    <cellStyle name="Millares 6 2 6" xfId="1592" xr:uid="{00000000-0005-0000-0000-000085000000}"/>
    <cellStyle name="Millares 6 3" xfId="1512" xr:uid="{00000000-0005-0000-0000-00000E000000}"/>
    <cellStyle name="Millares 7" xfId="26" xr:uid="{00000000-0005-0000-0000-00009C010000}"/>
    <cellStyle name="Millares 7 10" xfId="1520" xr:uid="{00000000-0005-0000-0000-000016000000}"/>
    <cellStyle name="Millares 7 11" xfId="2173" xr:uid="{00000000-0005-0000-0000-0000E2000000}"/>
    <cellStyle name="Millares 7 12" xfId="2423" xr:uid="{FB429246-A566-4ADD-823C-8467547FC274}"/>
    <cellStyle name="Millares 7 2" xfId="220" xr:uid="{00000000-0005-0000-0000-00009D010000}"/>
    <cellStyle name="Millares 7 2 2" xfId="464" xr:uid="{00000000-0005-0000-0000-00009E010000}"/>
    <cellStyle name="Millares 7 2 2 2" xfId="1916" xr:uid="{00000000-0005-0000-0000-0000CA010000}"/>
    <cellStyle name="Millares 7 2 3" xfId="685" xr:uid="{00000000-0005-0000-0000-00009F010000}"/>
    <cellStyle name="Millares 7 2 3 2" xfId="2137" xr:uid="{00000000-0005-0000-0000-0000A7020000}"/>
    <cellStyle name="Millares 7 2 4" xfId="762" xr:uid="{00000000-0005-0000-0000-0000A0010000}"/>
    <cellStyle name="Millares 7 2 5" xfId="854" xr:uid="{00000000-0005-0000-0000-0000C5000000}"/>
    <cellStyle name="Millares 7 2 6" xfId="1673" xr:uid="{00000000-0005-0000-0000-0000D6000000}"/>
    <cellStyle name="Millares 7 3" xfId="366" xr:uid="{00000000-0005-0000-0000-0000A1010000}"/>
    <cellStyle name="Millares 7 3 2" xfId="593" xr:uid="{00000000-0005-0000-0000-0000A2010000}"/>
    <cellStyle name="Millares 7 3 2 2" xfId="2045" xr:uid="{00000000-0005-0000-0000-00004B020000}"/>
    <cellStyle name="Millares 7 3 3" xfId="1033" xr:uid="{00000000-0005-0000-0000-000069000000}"/>
    <cellStyle name="Millares 7 3 4" xfId="1273" xr:uid="{00000000-0005-0000-0000-0000E4000000}"/>
    <cellStyle name="Millares 7 3 5" xfId="1818" xr:uid="{00000000-0005-0000-0000-000068010000}"/>
    <cellStyle name="Millares 7 3 6" xfId="2307" xr:uid="{00000000-0005-0000-0000-0000E4000000}"/>
    <cellStyle name="Millares 7 3 7" xfId="2573" xr:uid="{1CC4556D-F3C8-4CDC-AB9D-10B0D715B99E}"/>
    <cellStyle name="Millares 7 4" xfId="430" xr:uid="{00000000-0005-0000-0000-0000A3010000}"/>
    <cellStyle name="Millares 7 4 2" xfId="1882" xr:uid="{00000000-0005-0000-0000-0000A8010000}"/>
    <cellStyle name="Millares 7 5" xfId="652" xr:uid="{00000000-0005-0000-0000-0000A4010000}"/>
    <cellStyle name="Millares 7 5 2" xfId="2104" xr:uid="{00000000-0005-0000-0000-000086020000}"/>
    <cellStyle name="Millares 7 6" xfId="761" xr:uid="{00000000-0005-0000-0000-0000A5010000}"/>
    <cellStyle name="Millares 7 7" xfId="821" xr:uid="{00000000-0005-0000-0000-0000C4000000}"/>
    <cellStyle name="Millares 7 8" xfId="1109" xr:uid="{00000000-0005-0000-0000-0000C4000000}"/>
    <cellStyle name="Millares 7 9" xfId="1398" xr:uid="{00000000-0005-0000-0000-0000C4000000}"/>
    <cellStyle name="Millares 8" xfId="129" xr:uid="{00000000-0005-0000-0000-0000A6010000}"/>
    <cellStyle name="Millares 8 10" xfId="1584" xr:uid="{00000000-0005-0000-0000-00007D000000}"/>
    <cellStyle name="Millares 8 11" xfId="2187" xr:uid="{00000000-0005-0000-0000-0000E5000000}"/>
    <cellStyle name="Millares 8 12" xfId="2437" xr:uid="{61A200D4-0D80-4256-A601-97C3A31486BD}"/>
    <cellStyle name="Millares 8 2" xfId="221" xr:uid="{00000000-0005-0000-0000-0000A7010000}"/>
    <cellStyle name="Millares 8 2 2" xfId="465" xr:uid="{00000000-0005-0000-0000-0000A8010000}"/>
    <cellStyle name="Millares 8 2 2 2" xfId="1917" xr:uid="{00000000-0005-0000-0000-0000CB010000}"/>
    <cellStyle name="Millares 8 2 3" xfId="686" xr:uid="{00000000-0005-0000-0000-0000A9010000}"/>
    <cellStyle name="Millares 8 2 3 2" xfId="2138" xr:uid="{00000000-0005-0000-0000-0000A8020000}"/>
    <cellStyle name="Millares 8 2 4" xfId="764" xr:uid="{00000000-0005-0000-0000-0000AA010000}"/>
    <cellStyle name="Millares 8 2 5" xfId="855" xr:uid="{00000000-0005-0000-0000-0000C7000000}"/>
    <cellStyle name="Millares 8 2 6" xfId="1674" xr:uid="{00000000-0005-0000-0000-0000D7000000}"/>
    <cellStyle name="Millares 8 3" xfId="380" xr:uid="{00000000-0005-0000-0000-0000AB010000}"/>
    <cellStyle name="Millares 8 3 2" xfId="607" xr:uid="{00000000-0005-0000-0000-0000AC010000}"/>
    <cellStyle name="Millares 8 3 2 2" xfId="2059" xr:uid="{00000000-0005-0000-0000-000059020000}"/>
    <cellStyle name="Millares 8 3 3" xfId="1275" xr:uid="{00000000-0005-0000-0000-0000E7000000}"/>
    <cellStyle name="Millares 8 3 4" xfId="1832" xr:uid="{00000000-0005-0000-0000-000076010000}"/>
    <cellStyle name="Millares 8 3 5" xfId="2309" xr:uid="{00000000-0005-0000-0000-0000E7000000}"/>
    <cellStyle name="Millares 8 3 6" xfId="2575" xr:uid="{501CCBDA-04B0-4F2C-9B38-E547F1D85B49}"/>
    <cellStyle name="Millares 8 4" xfId="444" xr:uid="{00000000-0005-0000-0000-0000AD010000}"/>
    <cellStyle name="Millares 8 4 2" xfId="1896" xr:uid="{00000000-0005-0000-0000-0000B6010000}"/>
    <cellStyle name="Millares 8 5" xfId="666" xr:uid="{00000000-0005-0000-0000-0000AE010000}"/>
    <cellStyle name="Millares 8 5 2" xfId="2118" xr:uid="{00000000-0005-0000-0000-000094020000}"/>
    <cellStyle name="Millares 8 6" xfId="763" xr:uid="{00000000-0005-0000-0000-0000AF010000}"/>
    <cellStyle name="Millares 8 7" xfId="835" xr:uid="{00000000-0005-0000-0000-0000C6000000}"/>
    <cellStyle name="Millares 8 8" xfId="1125" xr:uid="{00000000-0005-0000-0000-0000C6000000}"/>
    <cellStyle name="Millares 8 9" xfId="1412" xr:uid="{00000000-0005-0000-0000-0000C6000000}"/>
    <cellStyle name="Millares 9" xfId="222" xr:uid="{00000000-0005-0000-0000-0000B0010000}"/>
    <cellStyle name="Millares 9 2" xfId="466" xr:uid="{00000000-0005-0000-0000-0000B1010000}"/>
    <cellStyle name="Millares 9 2 2" xfId="1918" xr:uid="{00000000-0005-0000-0000-0000CC010000}"/>
    <cellStyle name="Millares 9 3" xfId="687" xr:uid="{00000000-0005-0000-0000-0000B2010000}"/>
    <cellStyle name="Millares 9 3 2" xfId="1037" xr:uid="{00000000-0005-0000-0000-00006B000000}"/>
    <cellStyle name="Millares 9 3 3" xfId="2139" xr:uid="{00000000-0005-0000-0000-0000A9020000}"/>
    <cellStyle name="Millares 9 4" xfId="765" xr:uid="{00000000-0005-0000-0000-0000B3010000}"/>
    <cellStyle name="Millares 9 5" xfId="856" xr:uid="{00000000-0005-0000-0000-0000C8000000}"/>
    <cellStyle name="Millares 9 6" xfId="1675" xr:uid="{00000000-0005-0000-0000-0000D8000000}"/>
    <cellStyle name="Moneda" xfId="167" builtinId="4"/>
    <cellStyle name="Moneda 10" xfId="1072" xr:uid="{00000000-0005-0000-0000-00006F000000}"/>
    <cellStyle name="Moneda 11" xfId="1076" xr:uid="{00000000-0005-0000-0000-000070000000}"/>
    <cellStyle name="Moneda 12" xfId="1080" xr:uid="{00000000-0005-0000-0000-000071000000}"/>
    <cellStyle name="Moneda 13" xfId="1084" xr:uid="{00000000-0005-0000-0000-000072000000}"/>
    <cellStyle name="Moneda 14" xfId="1088" xr:uid="{F4F54CB1-2284-4573-AE18-2FEBDE177AF8}"/>
    <cellStyle name="Moneda 15" xfId="2533" xr:uid="{2F404765-5DE2-4CE9-80F3-2C8670C385DC}"/>
    <cellStyle name="Moneda 2" xfId="242" xr:uid="{00000000-0005-0000-0000-0000B5010000}"/>
    <cellStyle name="Moneda 2 10" xfId="1157" xr:uid="{00000000-0005-0000-0000-0000C9000000}"/>
    <cellStyle name="Moneda 2 11" xfId="1425" xr:uid="{00000000-0005-0000-0000-0000C9000000}"/>
    <cellStyle name="Moneda 2 12" xfId="1695" xr:uid="{00000000-0005-0000-0000-0000EC000000}"/>
    <cellStyle name="Moneda 2 13" xfId="2200" xr:uid="{00000000-0005-0000-0000-0000E9000000}"/>
    <cellStyle name="Moneda 2 14" xfId="2453" xr:uid="{1D59588A-A3FE-4C32-9C40-C5D2D91A8C9F}"/>
    <cellStyle name="Moneda 2 2" xfId="329" xr:uid="{00000000-0005-0000-0000-0000B6010000}"/>
    <cellStyle name="Moneda 2 2 2" xfId="349" xr:uid="{00000000-0005-0000-0000-0000B7010000}"/>
    <cellStyle name="Moneda 2 2 2 2" xfId="576" xr:uid="{00000000-0005-0000-0000-0000B8010000}"/>
    <cellStyle name="Moneda 2 2 2 2 2" xfId="2028" xr:uid="{00000000-0005-0000-0000-00003A020000}"/>
    <cellStyle name="Moneda 2 2 2 3" xfId="1369" xr:uid="{00000000-0005-0000-0000-0000EB000000}"/>
    <cellStyle name="Moneda 2 2 2 4" xfId="1801" xr:uid="{00000000-0005-0000-0000-000057010000}"/>
    <cellStyle name="Moneda 2 2 2 5" xfId="2405" xr:uid="{00000000-0005-0000-0000-0000EB000000}"/>
    <cellStyle name="Moneda 2 2 2 6" xfId="2664" xr:uid="{44C2B15D-655B-4653-B0A0-4F0F8F51C901}"/>
    <cellStyle name="Moneda 2 2 3" xfId="556" xr:uid="{00000000-0005-0000-0000-0000B9010000}"/>
    <cellStyle name="Moneda 2 2 3 2" xfId="2008" xr:uid="{00000000-0005-0000-0000-000026020000}"/>
    <cellStyle name="Moneda 2 2 4" xfId="937" xr:uid="{00000000-0005-0000-0000-0000CA000000}"/>
    <cellStyle name="Moneda 2 2 5" xfId="1232" xr:uid="{00000000-0005-0000-0000-0000CA000000}"/>
    <cellStyle name="Moneda 2 2 6" xfId="1497" xr:uid="{00000000-0005-0000-0000-0000CA000000}"/>
    <cellStyle name="Moneda 2 2 7" xfId="1781" xr:uid="{00000000-0005-0000-0000-000043010000}"/>
    <cellStyle name="Moneda 2 2 8" xfId="2282" xr:uid="{00000000-0005-0000-0000-0000EA000000}"/>
    <cellStyle name="Moneda 2 2 9" xfId="2527" xr:uid="{56844AC9-F400-48A9-8BBE-D6BC17016DF1}"/>
    <cellStyle name="Moneda 2 3" xfId="346" xr:uid="{00000000-0005-0000-0000-0000BA010000}"/>
    <cellStyle name="Moneda 2 3 2" xfId="573" xr:uid="{00000000-0005-0000-0000-0000BB010000}"/>
    <cellStyle name="Moneda 2 3 2 2" xfId="2025" xr:uid="{00000000-0005-0000-0000-000037020000}"/>
    <cellStyle name="Moneda 2 3 3" xfId="1289" xr:uid="{00000000-0005-0000-0000-0000EC000000}"/>
    <cellStyle name="Moneda 2 3 4" xfId="1798" xr:uid="{00000000-0005-0000-0000-000054010000}"/>
    <cellStyle name="Moneda 2 3 5" xfId="2323" xr:uid="{00000000-0005-0000-0000-0000EC000000}"/>
    <cellStyle name="Moneda 2 3 6" xfId="2589" xr:uid="{6174F09B-6D58-4D02-9CF6-AF24F2B10650}"/>
    <cellStyle name="Moneda 2 4" xfId="393" xr:uid="{00000000-0005-0000-0000-0000BC010000}"/>
    <cellStyle name="Moneda 2 4 2" xfId="620" xr:uid="{00000000-0005-0000-0000-0000BD010000}"/>
    <cellStyle name="Moneda 2 4 2 2" xfId="2072" xr:uid="{00000000-0005-0000-0000-000066020000}"/>
    <cellStyle name="Moneda 2 4 3" xfId="1845" xr:uid="{00000000-0005-0000-0000-000083010000}"/>
    <cellStyle name="Moneda 2 5" xfId="474" xr:uid="{00000000-0005-0000-0000-0000BE010000}"/>
    <cellStyle name="Moneda 2 5 2" xfId="1926" xr:uid="{00000000-0005-0000-0000-0000D4010000}"/>
    <cellStyle name="Moneda 2 6" xfId="695" xr:uid="{00000000-0005-0000-0000-0000BF010000}"/>
    <cellStyle name="Moneda 2 6 2" xfId="2147" xr:uid="{00000000-0005-0000-0000-0000B1020000}"/>
    <cellStyle name="Moneda 2 7" xfId="766" xr:uid="{00000000-0005-0000-0000-0000C0010000}"/>
    <cellStyle name="Moneda 2 8" xfId="864" xr:uid="{00000000-0005-0000-0000-0000C9000000}"/>
    <cellStyle name="Moneda 2 9" xfId="1040" xr:uid="{00000000-0005-0000-0000-000073000000}"/>
    <cellStyle name="Moneda 3" xfId="251" xr:uid="{00000000-0005-0000-0000-0000C1010000}"/>
    <cellStyle name="Moneda 3 10" xfId="1044" xr:uid="{00000000-0005-0000-0000-000074000000}"/>
    <cellStyle name="Moneda 3 11" xfId="1165" xr:uid="{00000000-0005-0000-0000-0000CB000000}"/>
    <cellStyle name="Moneda 3 12" xfId="1432" xr:uid="{00000000-0005-0000-0000-0000CB000000}"/>
    <cellStyle name="Moneda 3 13" xfId="1704" xr:uid="{00000000-0005-0000-0000-0000F5000000}"/>
    <cellStyle name="Moneda 3 14" xfId="2207" xr:uid="{00000000-0005-0000-0000-0000ED000000}"/>
    <cellStyle name="Moneda 3 15" xfId="2461" xr:uid="{946DC465-CBF8-4BB1-8058-CB90FA8E4FEF}"/>
    <cellStyle name="Moneda 3 2" xfId="256" xr:uid="{00000000-0005-0000-0000-0000C2010000}"/>
    <cellStyle name="Moneda 3 2 10" xfId="1436" xr:uid="{00000000-0005-0000-0000-0000CC000000}"/>
    <cellStyle name="Moneda 3 2 11" xfId="1709" xr:uid="{00000000-0005-0000-0000-0000FA000000}"/>
    <cellStyle name="Moneda 3 2 12" xfId="2211" xr:uid="{00000000-0005-0000-0000-0000EE000000}"/>
    <cellStyle name="Moneda 3 2 13" xfId="2466" xr:uid="{DEE51DFF-29DC-458C-9F29-7DAA45E740C6}"/>
    <cellStyle name="Moneda 3 2 2" xfId="260" xr:uid="{00000000-0005-0000-0000-0000C3010000}"/>
    <cellStyle name="Moneda 3 2 2 10" xfId="2215" xr:uid="{00000000-0005-0000-0000-0000EF000000}"/>
    <cellStyle name="Moneda 3 2 2 11" xfId="2470" xr:uid="{6097F0B3-C701-46D5-859A-0B6D7B4A5AD9}"/>
    <cellStyle name="Moneda 3 2 2 2" xfId="408" xr:uid="{00000000-0005-0000-0000-0000C4010000}"/>
    <cellStyle name="Moneda 3 2 2 2 2" xfId="635" xr:uid="{00000000-0005-0000-0000-0000C5010000}"/>
    <cellStyle name="Moneda 3 2 2 2 2 2" xfId="2087" xr:uid="{00000000-0005-0000-0000-000075020000}"/>
    <cellStyle name="Moneda 3 2 2 2 3" xfId="1304" xr:uid="{00000000-0005-0000-0000-0000F0000000}"/>
    <cellStyle name="Moneda 3 2 2 2 4" xfId="1860" xr:uid="{00000000-0005-0000-0000-000092010000}"/>
    <cellStyle name="Moneda 3 2 2 2 5" xfId="2338" xr:uid="{00000000-0005-0000-0000-0000F0000000}"/>
    <cellStyle name="Moneda 3 2 2 2 6" xfId="2604" xr:uid="{E931187C-CAFC-4A5E-915B-3E11516F1B3D}"/>
    <cellStyle name="Moneda 3 2 2 3" xfId="489" xr:uid="{00000000-0005-0000-0000-0000C6010000}"/>
    <cellStyle name="Moneda 3 2 2 3 2" xfId="1941" xr:uid="{00000000-0005-0000-0000-0000E3010000}"/>
    <cellStyle name="Moneda 3 2 2 4" xfId="710" xr:uid="{00000000-0005-0000-0000-0000C7010000}"/>
    <cellStyle name="Moneda 3 2 2 4 2" xfId="2162" xr:uid="{00000000-0005-0000-0000-0000C0020000}"/>
    <cellStyle name="Moneda 3 2 2 5" xfId="769" xr:uid="{00000000-0005-0000-0000-0000C8010000}"/>
    <cellStyle name="Moneda 3 2 2 6" xfId="879" xr:uid="{00000000-0005-0000-0000-0000CD000000}"/>
    <cellStyle name="Moneda 3 2 2 7" xfId="1174" xr:uid="{00000000-0005-0000-0000-0000CD000000}"/>
    <cellStyle name="Moneda 3 2 2 8" xfId="1440" xr:uid="{00000000-0005-0000-0000-0000CD000000}"/>
    <cellStyle name="Moneda 3 2 2 9" xfId="1713" xr:uid="{00000000-0005-0000-0000-0000FE000000}"/>
    <cellStyle name="Moneda 3 2 3" xfId="350" xr:uid="{00000000-0005-0000-0000-0000C9010000}"/>
    <cellStyle name="Moneda 3 2 3 2" xfId="577" xr:uid="{00000000-0005-0000-0000-0000CA010000}"/>
    <cellStyle name="Moneda 3 2 3 2 2" xfId="2029" xr:uid="{00000000-0005-0000-0000-00003B020000}"/>
    <cellStyle name="Moneda 3 2 3 3" xfId="1300" xr:uid="{00000000-0005-0000-0000-0000F1000000}"/>
    <cellStyle name="Moneda 3 2 3 4" xfId="1802" xr:uid="{00000000-0005-0000-0000-000058010000}"/>
    <cellStyle name="Moneda 3 2 3 5" xfId="2334" xr:uid="{00000000-0005-0000-0000-0000F1000000}"/>
    <cellStyle name="Moneda 3 2 3 6" xfId="2600" xr:uid="{056F4321-E05C-4019-9AC5-AEBAABDF362B}"/>
    <cellStyle name="Moneda 3 2 4" xfId="404" xr:uid="{00000000-0005-0000-0000-0000CB010000}"/>
    <cellStyle name="Moneda 3 2 4 2" xfId="631" xr:uid="{00000000-0005-0000-0000-0000CC010000}"/>
    <cellStyle name="Moneda 3 2 4 2 2" xfId="2083" xr:uid="{00000000-0005-0000-0000-000071020000}"/>
    <cellStyle name="Moneda 3 2 4 3" xfId="1856" xr:uid="{00000000-0005-0000-0000-00008E010000}"/>
    <cellStyle name="Moneda 3 2 5" xfId="485" xr:uid="{00000000-0005-0000-0000-0000CD010000}"/>
    <cellStyle name="Moneda 3 2 5 2" xfId="1937" xr:uid="{00000000-0005-0000-0000-0000DF010000}"/>
    <cellStyle name="Moneda 3 2 6" xfId="706" xr:uid="{00000000-0005-0000-0000-0000CE010000}"/>
    <cellStyle name="Moneda 3 2 6 2" xfId="2158" xr:uid="{00000000-0005-0000-0000-0000BC020000}"/>
    <cellStyle name="Moneda 3 2 7" xfId="768" xr:uid="{00000000-0005-0000-0000-0000CF010000}"/>
    <cellStyle name="Moneda 3 2 8" xfId="875" xr:uid="{00000000-0005-0000-0000-0000CC000000}"/>
    <cellStyle name="Moneda 3 2 9" xfId="1170" xr:uid="{00000000-0005-0000-0000-0000CC000000}"/>
    <cellStyle name="Moneda 3 3" xfId="330" xr:uid="{00000000-0005-0000-0000-0000D0010000}"/>
    <cellStyle name="Moneda 3 3 2" xfId="557" xr:uid="{00000000-0005-0000-0000-0000D1010000}"/>
    <cellStyle name="Moneda 3 3 2 2" xfId="1370" xr:uid="{00000000-0005-0000-0000-0000F3000000}"/>
    <cellStyle name="Moneda 3 3 2 3" xfId="2009" xr:uid="{00000000-0005-0000-0000-000027020000}"/>
    <cellStyle name="Moneda 3 3 2 4" xfId="2406" xr:uid="{00000000-0005-0000-0000-0000F3000000}"/>
    <cellStyle name="Moneda 3 3 2 5" xfId="2665" xr:uid="{0E76C21F-33B6-4F1F-B8E4-60740397FA5B}"/>
    <cellStyle name="Moneda 3 3 3" xfId="936" xr:uid="{00000000-0005-0000-0000-0000CE000000}"/>
    <cellStyle name="Moneda 3 3 4" xfId="1231" xr:uid="{00000000-0005-0000-0000-0000CE000000}"/>
    <cellStyle name="Moneda 3 3 5" xfId="1496" xr:uid="{00000000-0005-0000-0000-0000CE000000}"/>
    <cellStyle name="Moneda 3 3 6" xfId="1782" xr:uid="{00000000-0005-0000-0000-000044010000}"/>
    <cellStyle name="Moneda 3 3 7" xfId="2283" xr:uid="{00000000-0005-0000-0000-0000F2000000}"/>
    <cellStyle name="Moneda 3 3 8" xfId="2526" xr:uid="{4CF66335-B479-4BC3-9CD5-B934FD6FC56D}"/>
    <cellStyle name="Moneda 3 4" xfId="347" xr:uid="{00000000-0005-0000-0000-0000D2010000}"/>
    <cellStyle name="Moneda 3 4 2" xfId="574" xr:uid="{00000000-0005-0000-0000-0000D3010000}"/>
    <cellStyle name="Moneda 3 4 2 2" xfId="2026" xr:uid="{00000000-0005-0000-0000-000038020000}"/>
    <cellStyle name="Moneda 3 4 3" xfId="1296" xr:uid="{00000000-0005-0000-0000-0000F4000000}"/>
    <cellStyle name="Moneda 3 4 4" xfId="1799" xr:uid="{00000000-0005-0000-0000-000055010000}"/>
    <cellStyle name="Moneda 3 4 5" xfId="2330" xr:uid="{00000000-0005-0000-0000-0000F4000000}"/>
    <cellStyle name="Moneda 3 4 6" xfId="2596" xr:uid="{5FED19E1-8581-4E43-BE56-C085501B4313}"/>
    <cellStyle name="Moneda 3 5" xfId="400" xr:uid="{00000000-0005-0000-0000-0000D4010000}"/>
    <cellStyle name="Moneda 3 5 2" xfId="627" xr:uid="{00000000-0005-0000-0000-0000D5010000}"/>
    <cellStyle name="Moneda 3 5 2 2" xfId="2079" xr:uid="{00000000-0005-0000-0000-00006D020000}"/>
    <cellStyle name="Moneda 3 5 3" xfId="1852" xr:uid="{00000000-0005-0000-0000-00008A010000}"/>
    <cellStyle name="Moneda 3 6" xfId="481" xr:uid="{00000000-0005-0000-0000-0000D6010000}"/>
    <cellStyle name="Moneda 3 6 2" xfId="1933" xr:uid="{00000000-0005-0000-0000-0000DB010000}"/>
    <cellStyle name="Moneda 3 7" xfId="702" xr:uid="{00000000-0005-0000-0000-0000D7010000}"/>
    <cellStyle name="Moneda 3 7 2" xfId="2154" xr:uid="{00000000-0005-0000-0000-0000B8020000}"/>
    <cellStyle name="Moneda 3 8" xfId="767" xr:uid="{00000000-0005-0000-0000-0000D8010000}"/>
    <cellStyle name="Moneda 3 9" xfId="871" xr:uid="{00000000-0005-0000-0000-0000CB000000}"/>
    <cellStyle name="Moneda 4" xfId="255" xr:uid="{00000000-0005-0000-0000-0000D9010000}"/>
    <cellStyle name="Moneda 4 10" xfId="1048" xr:uid="{00000000-0005-0000-0000-000075000000}"/>
    <cellStyle name="Moneda 4 11" xfId="1169" xr:uid="{00000000-0005-0000-0000-0000CF000000}"/>
    <cellStyle name="Moneda 4 12" xfId="1435" xr:uid="{00000000-0005-0000-0000-0000CF000000}"/>
    <cellStyle name="Moneda 4 13" xfId="1708" xr:uid="{00000000-0005-0000-0000-0000F9000000}"/>
    <cellStyle name="Moneda 4 14" xfId="2210" xr:uid="{00000000-0005-0000-0000-0000F5000000}"/>
    <cellStyle name="Moneda 4 15" xfId="2465" xr:uid="{D95BE07D-10B4-4DD4-B25F-5421C5DD194B}"/>
    <cellStyle name="Moneda 4 2" xfId="259" xr:uid="{00000000-0005-0000-0000-0000DA010000}"/>
    <cellStyle name="Moneda 4 2 10" xfId="2214" xr:uid="{00000000-0005-0000-0000-0000F6000000}"/>
    <cellStyle name="Moneda 4 2 11" xfId="2469" xr:uid="{21AC4EEE-1F4B-4982-9384-50C35435C7EC}"/>
    <cellStyle name="Moneda 4 2 2" xfId="407" xr:uid="{00000000-0005-0000-0000-0000DB010000}"/>
    <cellStyle name="Moneda 4 2 2 2" xfId="634" xr:uid="{00000000-0005-0000-0000-0000DC010000}"/>
    <cellStyle name="Moneda 4 2 2 2 2" xfId="2086" xr:uid="{00000000-0005-0000-0000-000074020000}"/>
    <cellStyle name="Moneda 4 2 2 3" xfId="1303" xr:uid="{00000000-0005-0000-0000-0000F7000000}"/>
    <cellStyle name="Moneda 4 2 2 4" xfId="1859" xr:uid="{00000000-0005-0000-0000-000091010000}"/>
    <cellStyle name="Moneda 4 2 2 5" xfId="2337" xr:uid="{00000000-0005-0000-0000-0000F7000000}"/>
    <cellStyle name="Moneda 4 2 2 6" xfId="2603" xr:uid="{695B5FF5-2435-41C6-B83E-3BA712E76CE2}"/>
    <cellStyle name="Moneda 4 2 3" xfId="488" xr:uid="{00000000-0005-0000-0000-0000DD010000}"/>
    <cellStyle name="Moneda 4 2 3 2" xfId="1940" xr:uid="{00000000-0005-0000-0000-0000E2010000}"/>
    <cellStyle name="Moneda 4 2 4" xfId="709" xr:uid="{00000000-0005-0000-0000-0000DE010000}"/>
    <cellStyle name="Moneda 4 2 4 2" xfId="2161" xr:uid="{00000000-0005-0000-0000-0000BF020000}"/>
    <cellStyle name="Moneda 4 2 5" xfId="771" xr:uid="{00000000-0005-0000-0000-0000DF010000}"/>
    <cellStyle name="Moneda 4 2 6" xfId="878" xr:uid="{00000000-0005-0000-0000-0000D0000000}"/>
    <cellStyle name="Moneda 4 2 7" xfId="1173" xr:uid="{00000000-0005-0000-0000-0000D0000000}"/>
    <cellStyle name="Moneda 4 2 8" xfId="1439" xr:uid="{00000000-0005-0000-0000-0000D0000000}"/>
    <cellStyle name="Moneda 4 2 9" xfId="1712" xr:uid="{00000000-0005-0000-0000-0000FD000000}"/>
    <cellStyle name="Moneda 4 3" xfId="328" xr:uid="{00000000-0005-0000-0000-0000E0010000}"/>
    <cellStyle name="Moneda 4 3 2" xfId="555" xr:uid="{00000000-0005-0000-0000-0000E1010000}"/>
    <cellStyle name="Moneda 4 3 2 2" xfId="1368" xr:uid="{00000000-0005-0000-0000-0000F9000000}"/>
    <cellStyle name="Moneda 4 3 2 3" xfId="2007" xr:uid="{00000000-0005-0000-0000-000025020000}"/>
    <cellStyle name="Moneda 4 3 2 4" xfId="2404" xr:uid="{00000000-0005-0000-0000-0000F9000000}"/>
    <cellStyle name="Moneda 4 3 2 5" xfId="2663" xr:uid="{D84A34FF-6341-4E81-8E3C-DEADB9828B10}"/>
    <cellStyle name="Moneda 4 3 3" xfId="1248" xr:uid="{00000000-0005-0000-0000-0000F8000000}"/>
    <cellStyle name="Moneda 4 3 4" xfId="1780" xr:uid="{00000000-0005-0000-0000-000042010000}"/>
    <cellStyle name="Moneda 4 3 5" xfId="2281" xr:uid="{00000000-0005-0000-0000-0000F8000000}"/>
    <cellStyle name="Moneda 4 3 6" xfId="2550" xr:uid="{7B85A468-78CF-428D-B133-538EF7DFB01E}"/>
    <cellStyle name="Moneda 4 4" xfId="348" xr:uid="{00000000-0005-0000-0000-0000E2010000}"/>
    <cellStyle name="Moneda 4 4 2" xfId="575" xr:uid="{00000000-0005-0000-0000-0000E3010000}"/>
    <cellStyle name="Moneda 4 4 2 2" xfId="2027" xr:uid="{00000000-0005-0000-0000-000039020000}"/>
    <cellStyle name="Moneda 4 4 3" xfId="1299" xr:uid="{00000000-0005-0000-0000-0000FA000000}"/>
    <cellStyle name="Moneda 4 4 4" xfId="1800" xr:uid="{00000000-0005-0000-0000-000056010000}"/>
    <cellStyle name="Moneda 4 4 5" xfId="2333" xr:uid="{00000000-0005-0000-0000-0000FA000000}"/>
    <cellStyle name="Moneda 4 4 6" xfId="2599" xr:uid="{543F0250-E0AC-4596-BA22-18723F97C126}"/>
    <cellStyle name="Moneda 4 5" xfId="403" xr:uid="{00000000-0005-0000-0000-0000E4010000}"/>
    <cellStyle name="Moneda 4 5 2" xfId="630" xr:uid="{00000000-0005-0000-0000-0000E5010000}"/>
    <cellStyle name="Moneda 4 5 2 2" xfId="2082" xr:uid="{00000000-0005-0000-0000-000070020000}"/>
    <cellStyle name="Moneda 4 5 3" xfId="1855" xr:uid="{00000000-0005-0000-0000-00008D010000}"/>
    <cellStyle name="Moneda 4 6" xfId="484" xr:uid="{00000000-0005-0000-0000-0000E6010000}"/>
    <cellStyle name="Moneda 4 6 2" xfId="1936" xr:uid="{00000000-0005-0000-0000-0000DE010000}"/>
    <cellStyle name="Moneda 4 7" xfId="705" xr:uid="{00000000-0005-0000-0000-0000E7010000}"/>
    <cellStyle name="Moneda 4 7 2" xfId="2157" xr:uid="{00000000-0005-0000-0000-0000BB020000}"/>
    <cellStyle name="Moneda 4 8" xfId="770" xr:uid="{00000000-0005-0000-0000-0000E8010000}"/>
    <cellStyle name="Moneda 4 9" xfId="874" xr:uid="{00000000-0005-0000-0000-0000CF000000}"/>
    <cellStyle name="Moneda 5" xfId="345" xr:uid="{00000000-0005-0000-0000-0000E9010000}"/>
    <cellStyle name="Moneda 5 2" xfId="572" xr:uid="{00000000-0005-0000-0000-0000EA010000}"/>
    <cellStyle name="Moneda 5 2 2" xfId="2024" xr:uid="{00000000-0005-0000-0000-000036020000}"/>
    <cellStyle name="Moneda 5 3" xfId="1052" xr:uid="{00000000-0005-0000-0000-000076000000}"/>
    <cellStyle name="Moneda 5 4" xfId="1797" xr:uid="{00000000-0005-0000-0000-000053010000}"/>
    <cellStyle name="Moneda 6" xfId="1056" xr:uid="{00000000-0005-0000-0000-000077000000}"/>
    <cellStyle name="Moneda 7" xfId="1060" xr:uid="{00000000-0005-0000-0000-000078000000}"/>
    <cellStyle name="Moneda 8" xfId="1064" xr:uid="{00000000-0005-0000-0000-000079000000}"/>
    <cellStyle name="Moneda 9" xfId="1068" xr:uid="{00000000-0005-0000-0000-00007A000000}"/>
    <cellStyle name="Neutral" xfId="33" builtinId="28" customBuiltin="1"/>
    <cellStyle name="Neutral 2" xfId="138" xr:uid="{00000000-0005-0000-0000-0000EC010000}"/>
    <cellStyle name="Neutral 2 2" xfId="223" xr:uid="{00000000-0005-0000-0000-0000ED010000}"/>
    <cellStyle name="Neutral 2 2 2" xfId="1676" xr:uid="{00000000-0005-0000-0000-0000D9000000}"/>
    <cellStyle name="Neutral 2 3" xfId="1593" xr:uid="{00000000-0005-0000-0000-000086000000}"/>
    <cellStyle name="Neutral 3" xfId="139" xr:uid="{00000000-0005-0000-0000-0000EE010000}"/>
    <cellStyle name="Neutral 3 2" xfId="1000" xr:uid="{00000000-0005-0000-0000-0000A0000000}"/>
    <cellStyle name="Neutral 3 3" xfId="1594" xr:uid="{00000000-0005-0000-0000-000087000000}"/>
    <cellStyle name="Neutral 4" xfId="962" xr:uid="{00000000-0005-0000-0000-0000B3000000}"/>
    <cellStyle name="Normal" xfId="0" builtinId="0"/>
    <cellStyle name="Normal 10" xfId="241" xr:uid="{00000000-0005-0000-0000-0000F0010000}"/>
    <cellStyle name="Normal 10 10" xfId="1694" xr:uid="{00000000-0005-0000-0000-0000EB000000}"/>
    <cellStyle name="Normal 10 11" xfId="2199" xr:uid="{00000000-0005-0000-0000-000000010000}"/>
    <cellStyle name="Normal 10 12" xfId="2452" xr:uid="{9CE549CA-94F3-456E-9A96-5FB6EF08F434}"/>
    <cellStyle name="Normal 10 2" xfId="392" xr:uid="{00000000-0005-0000-0000-0000F1010000}"/>
    <cellStyle name="Normal 10 2 2" xfId="619" xr:uid="{00000000-0005-0000-0000-0000F2010000}"/>
    <cellStyle name="Normal 10 2 2 2" xfId="2071" xr:uid="{00000000-0005-0000-0000-000065020000}"/>
    <cellStyle name="Normal 10 2 3" xfId="1058" xr:uid="{00000000-0005-0000-0000-00007D000000}"/>
    <cellStyle name="Normal 10 2 4" xfId="1288" xr:uid="{00000000-0005-0000-0000-000001010000}"/>
    <cellStyle name="Normal 10 2 5" xfId="1844" xr:uid="{00000000-0005-0000-0000-000082010000}"/>
    <cellStyle name="Normal 10 2 6" xfId="2322" xr:uid="{00000000-0005-0000-0000-000001010000}"/>
    <cellStyle name="Normal 10 2 7" xfId="2588" xr:uid="{4D4E9B46-53A1-46E2-87D5-441F0F04CF52}"/>
    <cellStyle name="Normal 10 3" xfId="473" xr:uid="{00000000-0005-0000-0000-0000F3010000}"/>
    <cellStyle name="Normal 10 3 2" xfId="1925" xr:uid="{00000000-0005-0000-0000-0000D3010000}"/>
    <cellStyle name="Normal 10 4" xfId="694" xr:uid="{00000000-0005-0000-0000-0000F4010000}"/>
    <cellStyle name="Normal 10 4 2" xfId="2146" xr:uid="{00000000-0005-0000-0000-0000B0020000}"/>
    <cellStyle name="Normal 10 5" xfId="772" xr:uid="{00000000-0005-0000-0000-0000F5010000}"/>
    <cellStyle name="Normal 10 6" xfId="863" xr:uid="{00000000-0005-0000-0000-0000D6000000}"/>
    <cellStyle name="Normal 10 7" xfId="1011" xr:uid="{00000000-0005-0000-0000-0000A2000000}"/>
    <cellStyle name="Normal 10 8" xfId="1156" xr:uid="{00000000-0005-0000-0000-0000D6000000}"/>
    <cellStyle name="Normal 10 9" xfId="1424" xr:uid="{00000000-0005-0000-0000-0000D6000000}"/>
    <cellStyle name="Normal 11" xfId="245" xr:uid="{00000000-0005-0000-0000-0000F6010000}"/>
    <cellStyle name="Normal 11 10" xfId="1428" xr:uid="{00000000-0005-0000-0000-0000D7000000}"/>
    <cellStyle name="Normal 11 11" xfId="1698" xr:uid="{00000000-0005-0000-0000-0000EF000000}"/>
    <cellStyle name="Normal 11 12" xfId="2203" xr:uid="{00000000-0005-0000-0000-000002010000}"/>
    <cellStyle name="Normal 11 13" xfId="2456" xr:uid="{229E3906-44E3-4C9A-B428-F80902111FC7}"/>
    <cellStyle name="Normal 11 2" xfId="262" xr:uid="{00000000-0005-0000-0000-0000F7010000}"/>
    <cellStyle name="Normal 11 2 10" xfId="2217" xr:uid="{00000000-0005-0000-0000-000003010000}"/>
    <cellStyle name="Normal 11 2 11" xfId="2472" xr:uid="{C23BA413-393E-470B-9597-EED079D60956}"/>
    <cellStyle name="Normal 11 2 2" xfId="410" xr:uid="{00000000-0005-0000-0000-0000F8010000}"/>
    <cellStyle name="Normal 11 2 2 2" xfId="637" xr:uid="{00000000-0005-0000-0000-0000F9010000}"/>
    <cellStyle name="Normal 11 2 2 2 2" xfId="2089" xr:uid="{00000000-0005-0000-0000-000077020000}"/>
    <cellStyle name="Normal 11 2 2 3" xfId="1306" xr:uid="{00000000-0005-0000-0000-000004010000}"/>
    <cellStyle name="Normal 11 2 2 4" xfId="1862" xr:uid="{00000000-0005-0000-0000-000094010000}"/>
    <cellStyle name="Normal 11 2 2 5" xfId="2340" xr:uid="{00000000-0005-0000-0000-000004010000}"/>
    <cellStyle name="Normal 11 2 2 6" xfId="2606" xr:uid="{65793BA5-C1D8-468C-8797-B6FA770D4E64}"/>
    <cellStyle name="Normal 11 2 3" xfId="491" xr:uid="{00000000-0005-0000-0000-0000FA010000}"/>
    <cellStyle name="Normal 11 2 3 2" xfId="1943" xr:uid="{00000000-0005-0000-0000-0000E5010000}"/>
    <cellStyle name="Normal 11 2 4" xfId="712" xr:uid="{00000000-0005-0000-0000-0000FB010000}"/>
    <cellStyle name="Normal 11 2 4 2" xfId="2164" xr:uid="{00000000-0005-0000-0000-0000C2020000}"/>
    <cellStyle name="Normal 11 2 5" xfId="774" xr:uid="{00000000-0005-0000-0000-0000FC010000}"/>
    <cellStyle name="Normal 11 2 6" xfId="881" xr:uid="{00000000-0005-0000-0000-0000D8000000}"/>
    <cellStyle name="Normal 11 2 7" xfId="1176" xr:uid="{00000000-0005-0000-0000-0000D8000000}"/>
    <cellStyle name="Normal 11 2 8" xfId="1442" xr:uid="{00000000-0005-0000-0000-0000D8000000}"/>
    <cellStyle name="Normal 11 2 9" xfId="1715" xr:uid="{00000000-0005-0000-0000-000000010000}"/>
    <cellStyle name="Normal 11 3" xfId="396" xr:uid="{00000000-0005-0000-0000-0000FD010000}"/>
    <cellStyle name="Normal 11 3 2" xfId="623" xr:uid="{00000000-0005-0000-0000-0000FE010000}"/>
    <cellStyle name="Normal 11 3 2 2" xfId="2075" xr:uid="{00000000-0005-0000-0000-000069020000}"/>
    <cellStyle name="Normal 11 3 3" xfId="1292" xr:uid="{00000000-0005-0000-0000-000005010000}"/>
    <cellStyle name="Normal 11 3 4" xfId="1848" xr:uid="{00000000-0005-0000-0000-000086010000}"/>
    <cellStyle name="Normal 11 3 5" xfId="2326" xr:uid="{00000000-0005-0000-0000-000005010000}"/>
    <cellStyle name="Normal 11 3 6" xfId="2592" xr:uid="{79B42074-D594-461F-AE5F-C1693B001CCD}"/>
    <cellStyle name="Normal 11 4" xfId="477" xr:uid="{00000000-0005-0000-0000-0000FF010000}"/>
    <cellStyle name="Normal 11 4 2" xfId="1929" xr:uid="{00000000-0005-0000-0000-0000D7010000}"/>
    <cellStyle name="Normal 11 5" xfId="698" xr:uid="{00000000-0005-0000-0000-000000020000}"/>
    <cellStyle name="Normal 11 5 2" xfId="2150" xr:uid="{00000000-0005-0000-0000-0000B4020000}"/>
    <cellStyle name="Normal 11 6" xfId="773" xr:uid="{00000000-0005-0000-0000-000001020000}"/>
    <cellStyle name="Normal 11 7" xfId="867" xr:uid="{00000000-0005-0000-0000-0000D7000000}"/>
    <cellStyle name="Normal 11 8" xfId="1062" xr:uid="{00000000-0005-0000-0000-00007E000000}"/>
    <cellStyle name="Normal 11 9" xfId="1160" xr:uid="{00000000-0005-0000-0000-0000D7000000}"/>
    <cellStyle name="Normal 12" xfId="254" xr:uid="{00000000-0005-0000-0000-000002020000}"/>
    <cellStyle name="Normal 12 10" xfId="1434" xr:uid="{00000000-0005-0000-0000-0000D9000000}"/>
    <cellStyle name="Normal 12 11" xfId="1707" xr:uid="{00000000-0005-0000-0000-0000F8000000}"/>
    <cellStyle name="Normal 12 12" xfId="2209" xr:uid="{00000000-0005-0000-0000-000006010000}"/>
    <cellStyle name="Normal 12 13" xfId="2464" xr:uid="{C8BFB2C5-7D46-4916-BE50-3F1BB606D09B}"/>
    <cellStyle name="Normal 12 2" xfId="258" xr:uid="{00000000-0005-0000-0000-000003020000}"/>
    <cellStyle name="Normal 12 2 10" xfId="2213" xr:uid="{00000000-0005-0000-0000-000007010000}"/>
    <cellStyle name="Normal 12 2 11" xfId="2468" xr:uid="{07B5A84E-2D63-4817-9E4E-A9EEF28448E6}"/>
    <cellStyle name="Normal 12 2 2" xfId="406" xr:uid="{00000000-0005-0000-0000-000004020000}"/>
    <cellStyle name="Normal 12 2 2 2" xfId="633" xr:uid="{00000000-0005-0000-0000-000005020000}"/>
    <cellStyle name="Normal 12 2 2 2 2" xfId="2085" xr:uid="{00000000-0005-0000-0000-000073020000}"/>
    <cellStyle name="Normal 12 2 2 3" xfId="1302" xr:uid="{00000000-0005-0000-0000-000008010000}"/>
    <cellStyle name="Normal 12 2 2 4" xfId="1858" xr:uid="{00000000-0005-0000-0000-000090010000}"/>
    <cellStyle name="Normal 12 2 2 5" xfId="2336" xr:uid="{00000000-0005-0000-0000-000008010000}"/>
    <cellStyle name="Normal 12 2 2 6" xfId="2602" xr:uid="{D81712ED-02E9-428B-B4C9-325472BA2C23}"/>
    <cellStyle name="Normal 12 2 3" xfId="487" xr:uid="{00000000-0005-0000-0000-000006020000}"/>
    <cellStyle name="Normal 12 2 3 2" xfId="1939" xr:uid="{00000000-0005-0000-0000-0000E1010000}"/>
    <cellStyle name="Normal 12 2 4" xfId="708" xr:uid="{00000000-0005-0000-0000-000007020000}"/>
    <cellStyle name="Normal 12 2 4 2" xfId="2160" xr:uid="{00000000-0005-0000-0000-0000BE020000}"/>
    <cellStyle name="Normal 12 2 5" xfId="776" xr:uid="{00000000-0005-0000-0000-000008020000}"/>
    <cellStyle name="Normal 12 2 6" xfId="877" xr:uid="{00000000-0005-0000-0000-0000DA000000}"/>
    <cellStyle name="Normal 12 2 7" xfId="1172" xr:uid="{00000000-0005-0000-0000-0000DA000000}"/>
    <cellStyle name="Normal 12 2 8" xfId="1438" xr:uid="{00000000-0005-0000-0000-0000DA000000}"/>
    <cellStyle name="Normal 12 2 9" xfId="1711" xr:uid="{00000000-0005-0000-0000-0000FC000000}"/>
    <cellStyle name="Normal 12 3" xfId="402" xr:uid="{00000000-0005-0000-0000-000009020000}"/>
    <cellStyle name="Normal 12 3 2" xfId="629" xr:uid="{00000000-0005-0000-0000-00000A020000}"/>
    <cellStyle name="Normal 12 3 2 2" xfId="2081" xr:uid="{00000000-0005-0000-0000-00006F020000}"/>
    <cellStyle name="Normal 12 3 3" xfId="1298" xr:uid="{00000000-0005-0000-0000-000009010000}"/>
    <cellStyle name="Normal 12 3 4" xfId="1854" xr:uid="{00000000-0005-0000-0000-00008C010000}"/>
    <cellStyle name="Normal 12 3 5" xfId="2332" xr:uid="{00000000-0005-0000-0000-000009010000}"/>
    <cellStyle name="Normal 12 3 6" xfId="2598" xr:uid="{3820EFDE-BD4C-41D0-B578-9A7D0AC7A3B4}"/>
    <cellStyle name="Normal 12 4" xfId="483" xr:uid="{00000000-0005-0000-0000-00000B020000}"/>
    <cellStyle name="Normal 12 4 2" xfId="1935" xr:uid="{00000000-0005-0000-0000-0000DD010000}"/>
    <cellStyle name="Normal 12 5" xfId="704" xr:uid="{00000000-0005-0000-0000-00000C020000}"/>
    <cellStyle name="Normal 12 5 2" xfId="2156" xr:uid="{00000000-0005-0000-0000-0000BA020000}"/>
    <cellStyle name="Normal 12 6" xfId="775" xr:uid="{00000000-0005-0000-0000-00000D020000}"/>
    <cellStyle name="Normal 12 7" xfId="873" xr:uid="{00000000-0005-0000-0000-0000D9000000}"/>
    <cellStyle name="Normal 12 8" xfId="1066" xr:uid="{00000000-0005-0000-0000-00007F000000}"/>
    <cellStyle name="Normal 12 9" xfId="1168" xr:uid="{00000000-0005-0000-0000-0000D9000000}"/>
    <cellStyle name="Normal 13" xfId="278" xr:uid="{00000000-0005-0000-0000-00000E020000}"/>
    <cellStyle name="Normal 13 10" xfId="2233" xr:uid="{00000000-0005-0000-0000-00000A010000}"/>
    <cellStyle name="Normal 13 11" xfId="2488" xr:uid="{4AF207F5-2915-495E-9E42-BF5C87A9923C}"/>
    <cellStyle name="Normal 13 2" xfId="303" xr:uid="{00000000-0005-0000-0000-00000F020000}"/>
    <cellStyle name="Normal 13 2 2" xfId="353" xr:uid="{00000000-0005-0000-0000-000010020000}"/>
    <cellStyle name="Normal 13 2 2 2" xfId="413" xr:uid="{00000000-0005-0000-0000-000011020000}"/>
    <cellStyle name="Normal 13 2 2 2 2" xfId="638" xr:uid="{00000000-0005-0000-0000-000012020000}"/>
    <cellStyle name="Normal 13 2 2 2 2 2" xfId="2090" xr:uid="{00000000-0005-0000-0000-000078020000}"/>
    <cellStyle name="Normal 13 2 2 2 3" xfId="1865" xr:uid="{00000000-0005-0000-0000-000097010000}"/>
    <cellStyle name="Normal 13 2 2 3" xfId="580" xr:uid="{00000000-0005-0000-0000-000013020000}"/>
    <cellStyle name="Normal 13 2 2 3 2" xfId="2032" xr:uid="{00000000-0005-0000-0000-00003E020000}"/>
    <cellStyle name="Normal 13 2 2 4" xfId="1345" xr:uid="{00000000-0005-0000-0000-00000C010000}"/>
    <cellStyle name="Normal 13 2 2 5" xfId="1805" xr:uid="{00000000-0005-0000-0000-00005B010000}"/>
    <cellStyle name="Normal 13 2 2 6" xfId="2381" xr:uid="{00000000-0005-0000-0000-00000C010000}"/>
    <cellStyle name="Normal 13 2 2 7" xfId="2529" xr:uid="{53F141D1-89DF-40DD-8098-F3AD3791E0C1}"/>
    <cellStyle name="Normal 13 2 3" xfId="532" xr:uid="{00000000-0005-0000-0000-000014020000}"/>
    <cellStyle name="Normal 13 2 3 2" xfId="1984" xr:uid="{00000000-0005-0000-0000-00000E020000}"/>
    <cellStyle name="Normal 13 2 4" xfId="922" xr:uid="{00000000-0005-0000-0000-0000DC000000}"/>
    <cellStyle name="Normal 13 2 5" xfId="1217" xr:uid="{00000000-0005-0000-0000-0000DC000000}"/>
    <cellStyle name="Normal 13 2 6" xfId="1483" xr:uid="{00000000-0005-0000-0000-0000DC000000}"/>
    <cellStyle name="Normal 13 2 7" xfId="1756" xr:uid="{00000000-0005-0000-0000-000029010000}"/>
    <cellStyle name="Normal 13 2 7 2" xfId="2530" xr:uid="{C013363A-3B06-4269-ADCE-59EBD77F912E}"/>
    <cellStyle name="Normal 13 2 8" xfId="2258" xr:uid="{00000000-0005-0000-0000-00000B010000}"/>
    <cellStyle name="Normal 13 2 9" xfId="2513" xr:uid="{361C0D0C-6C99-4E6C-A52B-EEE477FA1389}"/>
    <cellStyle name="Normal 13 3" xfId="507" xr:uid="{00000000-0005-0000-0000-000015020000}"/>
    <cellStyle name="Normal 13 3 2" xfId="1322" xr:uid="{00000000-0005-0000-0000-00000D010000}"/>
    <cellStyle name="Normal 13 3 3" xfId="1959" xr:uid="{00000000-0005-0000-0000-0000F5010000}"/>
    <cellStyle name="Normal 13 3 4" xfId="2356" xr:uid="{00000000-0005-0000-0000-00000D010000}"/>
    <cellStyle name="Normal 13 3 5" xfId="2622" xr:uid="{3527935C-6007-4F95-990D-17F42DDFF672}"/>
    <cellStyle name="Normal 13 4" xfId="777" xr:uid="{00000000-0005-0000-0000-000016020000}"/>
    <cellStyle name="Normal 13 5" xfId="897" xr:uid="{00000000-0005-0000-0000-0000DB000000}"/>
    <cellStyle name="Normal 13 6" xfId="1070" xr:uid="{00000000-0005-0000-0000-000080000000}"/>
    <cellStyle name="Normal 13 7" xfId="1192" xr:uid="{00000000-0005-0000-0000-0000DB000000}"/>
    <cellStyle name="Normal 13 8" xfId="1458" xr:uid="{00000000-0005-0000-0000-0000DB000000}"/>
    <cellStyle name="Normal 13 9" xfId="1731" xr:uid="{00000000-0005-0000-0000-000010010000}"/>
    <cellStyle name="Normal 14" xfId="281" xr:uid="{00000000-0005-0000-0000-000017020000}"/>
    <cellStyle name="Normal 14 10" xfId="2491" xr:uid="{15F93DCC-F5C8-4AC8-8A7F-E674AFB7A778}"/>
    <cellStyle name="Normal 14 2" xfId="510" xr:uid="{00000000-0005-0000-0000-000018020000}"/>
    <cellStyle name="Normal 14 2 2" xfId="1325" xr:uid="{00000000-0005-0000-0000-00000F010000}"/>
    <cellStyle name="Normal 14 2 3" xfId="1962" xr:uid="{00000000-0005-0000-0000-0000F8010000}"/>
    <cellStyle name="Normal 14 2 4" xfId="2359" xr:uid="{00000000-0005-0000-0000-00000F010000}"/>
    <cellStyle name="Normal 14 2 5" xfId="2625" xr:uid="{8B8BB65C-DC49-4DC1-8058-0551D10D09D4}"/>
    <cellStyle name="Normal 14 3" xfId="778" xr:uid="{00000000-0005-0000-0000-000019020000}"/>
    <cellStyle name="Normal 14 4" xfId="900" xr:uid="{00000000-0005-0000-0000-0000DD000000}"/>
    <cellStyle name="Normal 14 5" xfId="1074" xr:uid="{00000000-0005-0000-0000-000081000000}"/>
    <cellStyle name="Normal 14 6" xfId="1195" xr:uid="{00000000-0005-0000-0000-0000DD000000}"/>
    <cellStyle name="Normal 14 7" xfId="1461" xr:uid="{00000000-0005-0000-0000-0000DD000000}"/>
    <cellStyle name="Normal 14 8" xfId="1734" xr:uid="{00000000-0005-0000-0000-000013010000}"/>
    <cellStyle name="Normal 14 9" xfId="2236" xr:uid="{00000000-0005-0000-0000-00000E010000}"/>
    <cellStyle name="Normal 15" xfId="286" xr:uid="{00000000-0005-0000-0000-00001A020000}"/>
    <cellStyle name="Normal 15 2" xfId="515" xr:uid="{00000000-0005-0000-0000-00001B020000}"/>
    <cellStyle name="Normal 15 2 2" xfId="1328" xr:uid="{00000000-0005-0000-0000-000011010000}"/>
    <cellStyle name="Normal 15 2 3" xfId="1967" xr:uid="{00000000-0005-0000-0000-0000FD010000}"/>
    <cellStyle name="Normal 15 2 4" xfId="2364" xr:uid="{00000000-0005-0000-0000-000011010000}"/>
    <cellStyle name="Normal 15 2 5" xfId="2628" xr:uid="{1B84CF2B-BDDA-408C-82ED-1008697AA40A}"/>
    <cellStyle name="Normal 15 3" xfId="905" xr:uid="{00000000-0005-0000-0000-0000DE000000}"/>
    <cellStyle name="Normal 15 4" xfId="1078" xr:uid="{00000000-0005-0000-0000-000082000000}"/>
    <cellStyle name="Normal 15 5" xfId="1200" xr:uid="{00000000-0005-0000-0000-0000DE000000}"/>
    <cellStyle name="Normal 15 6" xfId="1466" xr:uid="{00000000-0005-0000-0000-0000DE000000}"/>
    <cellStyle name="Normal 15 7" xfId="1739" xr:uid="{00000000-0005-0000-0000-000018010000}"/>
    <cellStyle name="Normal 15 8" xfId="2241" xr:uid="{00000000-0005-0000-0000-000010010000}"/>
    <cellStyle name="Normal 15 9" xfId="2496" xr:uid="{2320569C-EE97-442C-8819-B96AF0F631A8}"/>
    <cellStyle name="Normal 16" xfId="307" xr:uid="{00000000-0005-0000-0000-00001C020000}"/>
    <cellStyle name="Normal 16 2" xfId="536" xr:uid="{00000000-0005-0000-0000-00001D020000}"/>
    <cellStyle name="Normal 16 2 2" xfId="1349" xr:uid="{00000000-0005-0000-0000-000013010000}"/>
    <cellStyle name="Normal 16 2 3" xfId="1988" xr:uid="{00000000-0005-0000-0000-000012020000}"/>
    <cellStyle name="Normal 16 2 4" xfId="2385" xr:uid="{00000000-0005-0000-0000-000013010000}"/>
    <cellStyle name="Normal 16 2 5" xfId="2645" xr:uid="{1C1C9486-21FE-4FD8-AB7C-2E552CB181AE}"/>
    <cellStyle name="Normal 16 3" xfId="926" xr:uid="{00000000-0005-0000-0000-0000DF000000}"/>
    <cellStyle name="Normal 16 4" xfId="1082" xr:uid="{00000000-0005-0000-0000-000083000000}"/>
    <cellStyle name="Normal 16 5" xfId="1221" xr:uid="{00000000-0005-0000-0000-0000DF000000}"/>
    <cellStyle name="Normal 16 6" xfId="1487" xr:uid="{00000000-0005-0000-0000-0000DF000000}"/>
    <cellStyle name="Normal 16 7" xfId="1760" xr:uid="{00000000-0005-0000-0000-00002D010000}"/>
    <cellStyle name="Normal 16 8" xfId="2262" xr:uid="{00000000-0005-0000-0000-000012010000}"/>
    <cellStyle name="Normal 16 9" xfId="2517" xr:uid="{77DC3AAC-0636-4BBA-B7F4-A419702114A3}"/>
    <cellStyle name="Normal 17" xfId="308" xr:uid="{00000000-0005-0000-0000-00001E020000}"/>
    <cellStyle name="Normal 17 10" xfId="2518" xr:uid="{6EBA98C2-D71E-4A1C-9CAC-68640292E040}"/>
    <cellStyle name="Normal 17 2" xfId="351" xr:uid="{00000000-0005-0000-0000-00001F020000}"/>
    <cellStyle name="Normal 17 2 2" xfId="578" xr:uid="{00000000-0005-0000-0000-000020020000}"/>
    <cellStyle name="Normal 17 2 2 2" xfId="2030" xr:uid="{00000000-0005-0000-0000-00003C020000}"/>
    <cellStyle name="Normal 17 2 3" xfId="1350" xr:uid="{00000000-0005-0000-0000-000015010000}"/>
    <cellStyle name="Normal 17 2 4" xfId="1803" xr:uid="{00000000-0005-0000-0000-000059010000}"/>
    <cellStyle name="Normal 17 2 5" xfId="2386" xr:uid="{00000000-0005-0000-0000-000015010000}"/>
    <cellStyle name="Normal 17 2 6" xfId="2531" xr:uid="{A10898B2-C7AE-48EA-A812-316DB554AD8A}"/>
    <cellStyle name="Normal 17 3" xfId="537" xr:uid="{00000000-0005-0000-0000-000021020000}"/>
    <cellStyle name="Normal 17 3 2" xfId="1989" xr:uid="{00000000-0005-0000-0000-000013020000}"/>
    <cellStyle name="Normal 17 4" xfId="927" xr:uid="{00000000-0005-0000-0000-0000E0000000}"/>
    <cellStyle name="Normal 17 5" xfId="1086" xr:uid="{4F180D22-7365-4668-9854-D9312FBE5BC4}"/>
    <cellStyle name="Normal 17 6" xfId="1222" xr:uid="{00000000-0005-0000-0000-0000E0000000}"/>
    <cellStyle name="Normal 17 7" xfId="1488" xr:uid="{00000000-0005-0000-0000-0000E0000000}"/>
    <cellStyle name="Normal 17 8" xfId="1761" xr:uid="{00000000-0005-0000-0000-00002E010000}"/>
    <cellStyle name="Normal 17 9" xfId="2263" xr:uid="{00000000-0005-0000-0000-000014010000}"/>
    <cellStyle name="Normal 18" xfId="313" xr:uid="{00000000-0005-0000-0000-000022020000}"/>
    <cellStyle name="Normal 18 2" xfId="541" xr:uid="{00000000-0005-0000-0000-000023020000}"/>
    <cellStyle name="Normal 18 2 2" xfId="1354" xr:uid="{00000000-0005-0000-0000-000017010000}"/>
    <cellStyle name="Normal 18 2 3" xfId="1993" xr:uid="{00000000-0005-0000-0000-000017020000}"/>
    <cellStyle name="Normal 18 2 4" xfId="2390" xr:uid="{00000000-0005-0000-0000-000017010000}"/>
    <cellStyle name="Normal 18 2 5" xfId="2649" xr:uid="{07F5973A-B9F0-4C1F-9DEC-E333966BA746}"/>
    <cellStyle name="Normal 18 3" xfId="934" xr:uid="{00000000-0005-0000-0000-0000E1000000}"/>
    <cellStyle name="Normal 18 4" xfId="1090" xr:uid="{CCF64BD3-EFF5-45E8-9CEE-673D9882967A}"/>
    <cellStyle name="Normal 18 5" xfId="1229" xr:uid="{00000000-0005-0000-0000-0000E1000000}"/>
    <cellStyle name="Normal 18 6" xfId="1494" xr:uid="{00000000-0005-0000-0000-0000E1000000}"/>
    <cellStyle name="Normal 18 7" xfId="1765" xr:uid="{00000000-0005-0000-0000-000033010000}"/>
    <cellStyle name="Normal 18 8" xfId="2267" xr:uid="{00000000-0005-0000-0000-000016010000}"/>
    <cellStyle name="Normal 18 9" xfId="2524" xr:uid="{1D23B550-32C8-441E-AF03-E600720824FB}"/>
    <cellStyle name="Normal 19" xfId="331" xr:uid="{00000000-0005-0000-0000-000024020000}"/>
    <cellStyle name="Normal 19 2" xfId="558" xr:uid="{00000000-0005-0000-0000-000025020000}"/>
    <cellStyle name="Normal 19 2 2" xfId="2010" xr:uid="{00000000-0005-0000-0000-000028020000}"/>
    <cellStyle name="Normal 19 3" xfId="1263" xr:uid="{00000000-0005-0000-0000-000018010000}"/>
    <cellStyle name="Normal 19 4" xfId="1783" xr:uid="{00000000-0005-0000-0000-000045010000}"/>
    <cellStyle name="Normal 2" xfId="2" xr:uid="{00000000-0005-0000-0000-000026020000}"/>
    <cellStyle name="Normal 2 2" xfId="21" xr:uid="{00000000-0005-0000-0000-000027020000}"/>
    <cellStyle name="Normal 2 2 10" xfId="1395" xr:uid="{00000000-0005-0000-0000-0000E3000000}"/>
    <cellStyle name="Normal 2 2 11" xfId="1515" xr:uid="{00000000-0005-0000-0000-000011000000}"/>
    <cellStyle name="Normal 2 2 12" xfId="2170" xr:uid="{00000000-0005-0000-0000-00001A010000}"/>
    <cellStyle name="Normal 2 2 13" xfId="2419" xr:uid="{80A29D47-5F8B-4442-93D2-57EE788B7B46}"/>
    <cellStyle name="Normal 2 2 2" xfId="140" xr:uid="{00000000-0005-0000-0000-000028020000}"/>
    <cellStyle name="Normal 2 2 2 2" xfId="1595" xr:uid="{00000000-0005-0000-0000-000088000000}"/>
    <cellStyle name="Normal 2 2 3" xfId="224" xr:uid="{00000000-0005-0000-0000-000029020000}"/>
    <cellStyle name="Normal 2 2 3 2" xfId="1677" xr:uid="{00000000-0005-0000-0000-0000DA000000}"/>
    <cellStyle name="Normal 2 2 4" xfId="363" xr:uid="{00000000-0005-0000-0000-00002A020000}"/>
    <cellStyle name="Normal 2 2 4 2" xfId="590" xr:uid="{00000000-0005-0000-0000-00002B020000}"/>
    <cellStyle name="Normal 2 2 4 2 2" xfId="2042" xr:uid="{00000000-0005-0000-0000-000048020000}"/>
    <cellStyle name="Normal 2 2 4 3" xfId="1270" xr:uid="{00000000-0005-0000-0000-00001D010000}"/>
    <cellStyle name="Normal 2 2 4 4" xfId="1815" xr:uid="{00000000-0005-0000-0000-000065010000}"/>
    <cellStyle name="Normal 2 2 4 5" xfId="2304" xr:uid="{00000000-0005-0000-0000-00001D010000}"/>
    <cellStyle name="Normal 2 2 4 6" xfId="2570" xr:uid="{4FB70332-94F5-446D-882A-42CDAE4C9501}"/>
    <cellStyle name="Normal 2 2 5" xfId="427" xr:uid="{00000000-0005-0000-0000-00002C020000}"/>
    <cellStyle name="Normal 2 2 5 2" xfId="1879" xr:uid="{00000000-0005-0000-0000-0000A5010000}"/>
    <cellStyle name="Normal 2 2 6" xfId="649" xr:uid="{00000000-0005-0000-0000-00002D020000}"/>
    <cellStyle name="Normal 2 2 6 2" xfId="2101" xr:uid="{00000000-0005-0000-0000-000083020000}"/>
    <cellStyle name="Normal 2 2 7" xfId="779" xr:uid="{00000000-0005-0000-0000-00002E020000}"/>
    <cellStyle name="Normal 2 2 8" xfId="818" xr:uid="{00000000-0005-0000-0000-0000E3000000}"/>
    <cellStyle name="Normal 2 2 9" xfId="1105" xr:uid="{00000000-0005-0000-0000-0000E3000000}"/>
    <cellStyle name="Normal 2 3" xfId="20" xr:uid="{00000000-0005-0000-0000-00002F020000}"/>
    <cellStyle name="Normal 2 3 10" xfId="1394" xr:uid="{00000000-0005-0000-0000-0000E6000000}"/>
    <cellStyle name="Normal 2 3 11" xfId="1514" xr:uid="{00000000-0005-0000-0000-000010000000}"/>
    <cellStyle name="Normal 2 3 12" xfId="2169" xr:uid="{00000000-0005-0000-0000-00001E010000}"/>
    <cellStyle name="Normal 2 3 13" xfId="2418" xr:uid="{7D1BADAB-B770-4C88-A38C-C65D0AAB1EA5}"/>
    <cellStyle name="Normal 2 3 2" xfId="362" xr:uid="{00000000-0005-0000-0000-000030020000}"/>
    <cellStyle name="Normal 2 3 2 2" xfId="589" xr:uid="{00000000-0005-0000-0000-000031020000}"/>
    <cellStyle name="Normal 2 3 2 2 2" xfId="2041" xr:uid="{00000000-0005-0000-0000-000047020000}"/>
    <cellStyle name="Normal 2 3 2 3" xfId="1269" xr:uid="{00000000-0005-0000-0000-00001F010000}"/>
    <cellStyle name="Normal 2 3 2 4" xfId="1814" xr:uid="{00000000-0005-0000-0000-000064010000}"/>
    <cellStyle name="Normal 2 3 2 5" xfId="2303" xr:uid="{00000000-0005-0000-0000-00001F010000}"/>
    <cellStyle name="Normal 2 3 2 6" xfId="2569" xr:uid="{E3B5E2DD-F472-42A7-A948-4A0B83041837}"/>
    <cellStyle name="Normal 2 3 3" xfId="426" xr:uid="{00000000-0005-0000-0000-000032020000}"/>
    <cellStyle name="Normal 2 3 3 2" xfId="1878" xr:uid="{00000000-0005-0000-0000-0000A4010000}"/>
    <cellStyle name="Normal 2 3 4" xfId="648" xr:uid="{00000000-0005-0000-0000-000033020000}"/>
    <cellStyle name="Normal 2 3 4 2" xfId="2100" xr:uid="{00000000-0005-0000-0000-000082020000}"/>
    <cellStyle name="Normal 2 3 5" xfId="780" xr:uid="{00000000-0005-0000-0000-000034020000}"/>
    <cellStyle name="Normal 2 3 6" xfId="817" xr:uid="{00000000-0005-0000-0000-0000E6000000}"/>
    <cellStyle name="Normal 2 3 7" xfId="959" xr:uid="{00000000-0005-0000-0000-0000A6000000}"/>
    <cellStyle name="Normal 2 3 8" xfId="1104" xr:uid="{00000000-0005-0000-0000-0000E6000000}"/>
    <cellStyle name="Normal 2 3 9" xfId="1376" xr:uid="{00000000-0005-0000-0000-0000B5000000}"/>
    <cellStyle name="Normal 2 4" xfId="249" xr:uid="{00000000-0005-0000-0000-000035020000}"/>
    <cellStyle name="Normal 2 4 2" xfId="1012" xr:uid="{00000000-0005-0000-0000-0000A7000000}"/>
    <cellStyle name="Normal 2 4 3" xfId="1702" xr:uid="{00000000-0005-0000-0000-0000F3000000}"/>
    <cellStyle name="Normal 2 5" xfId="1500" xr:uid="{00000000-0005-0000-0000-000001000000}"/>
    <cellStyle name="Normal 20" xfId="713" xr:uid="{00000000-0005-0000-0000-000036020000}"/>
    <cellStyle name="Normal 20 2" xfId="1250" xr:uid="{00000000-0005-0000-0000-000021010000}"/>
    <cellStyle name="Normal 20 3" xfId="2285" xr:uid="{00000000-0005-0000-0000-000021010000}"/>
    <cellStyle name="Normal 20 4" xfId="2552" xr:uid="{9083A4A9-756B-4BAB-825C-46AC77AAEAB1}"/>
    <cellStyle name="Normal 21" xfId="253" xr:uid="{00000000-0005-0000-0000-000037020000}"/>
    <cellStyle name="Normal 21 2" xfId="1706" xr:uid="{00000000-0005-0000-0000-0000F7000000}"/>
    <cellStyle name="Normal 22" xfId="411" xr:uid="{00000000-0005-0000-0000-000038020000}"/>
    <cellStyle name="Normal 22 2" xfId="1863" xr:uid="{00000000-0005-0000-0000-000095010000}"/>
    <cellStyle name="Normal 23" xfId="810" xr:uid="{00000000-0005-0000-0000-000039020000}"/>
    <cellStyle name="Normal 24" xfId="939" xr:uid="{00000000-0005-0000-0000-00001A040000}"/>
    <cellStyle name="Normal 25" xfId="1372" xr:uid="{00000000-0005-0000-0000-00006E050000}"/>
    <cellStyle name="Normal 26" xfId="1499" xr:uid="{00000000-0005-0000-0000-000073070000}"/>
    <cellStyle name="Normal 3" xfId="5" xr:uid="{00000000-0005-0000-0000-00003A020000}"/>
    <cellStyle name="Normal 3 10" xfId="414" xr:uid="{00000000-0005-0000-0000-00003B020000}"/>
    <cellStyle name="Normal 3 10 2" xfId="639" xr:uid="{00000000-0005-0000-0000-00003C020000}"/>
    <cellStyle name="Normal 3 10 2 2" xfId="2091" xr:uid="{00000000-0005-0000-0000-000079020000}"/>
    <cellStyle name="Normal 3 10 3" xfId="1866" xr:uid="{00000000-0005-0000-0000-000098010000}"/>
    <cellStyle name="Normal 3 11" xfId="420" xr:uid="{00000000-0005-0000-0000-00003D020000}"/>
    <cellStyle name="Normal 3 11 2" xfId="1872" xr:uid="{00000000-0005-0000-0000-00009E010000}"/>
    <cellStyle name="Normal 3 12" xfId="644" xr:uid="{00000000-0005-0000-0000-00003E020000}"/>
    <cellStyle name="Normal 3 12 2" xfId="2096" xr:uid="{00000000-0005-0000-0000-00007E020000}"/>
    <cellStyle name="Normal 3 13" xfId="781" xr:uid="{00000000-0005-0000-0000-00003F020000}"/>
    <cellStyle name="Normal 3 14" xfId="813" xr:uid="{00000000-0005-0000-0000-0000E9000000}"/>
    <cellStyle name="Normal 3 15" xfId="1095" xr:uid="{00000000-0005-0000-0000-0000E9000000}"/>
    <cellStyle name="Normal 3 16" xfId="1390" xr:uid="{00000000-0005-0000-0000-0000E9000000}"/>
    <cellStyle name="Normal 3 17" xfId="1503" xr:uid="{00000000-0005-0000-0000-000004000000}"/>
    <cellStyle name="Normal 3 18" xfId="2165" xr:uid="{00000000-0005-0000-0000-000023010000}"/>
    <cellStyle name="Normal 3 19" xfId="2411" xr:uid="{83F4B965-47F1-413C-BDE8-F9C3F7D00B7D}"/>
    <cellStyle name="Normal 3 2" xfId="14" xr:uid="{00000000-0005-0000-0000-000040020000}"/>
    <cellStyle name="Normal 3 2 2" xfId="226" xr:uid="{00000000-0005-0000-0000-000041020000}"/>
    <cellStyle name="Normal 3 2 2 10" xfId="1418" xr:uid="{00000000-0005-0000-0000-0000EB000000}"/>
    <cellStyle name="Normal 3 2 2 11" xfId="1679" xr:uid="{00000000-0005-0000-0000-0000DC000000}"/>
    <cellStyle name="Normal 3 2 2 12" xfId="2193" xr:uid="{00000000-0005-0000-0000-000025010000}"/>
    <cellStyle name="Normal 3 2 2 13" xfId="2444" xr:uid="{9E4FE76B-CF2F-4973-9F81-6C20F7A67E5F}"/>
    <cellStyle name="Normal 3 2 2 2" xfId="386" xr:uid="{00000000-0005-0000-0000-000042020000}"/>
    <cellStyle name="Normal 3 2 2 2 2" xfId="613" xr:uid="{00000000-0005-0000-0000-000043020000}"/>
    <cellStyle name="Normal 3 2 2 2 2 2" xfId="2065" xr:uid="{00000000-0005-0000-0000-00005F020000}"/>
    <cellStyle name="Normal 3 2 2 2 3" xfId="1282" xr:uid="{00000000-0005-0000-0000-000026010000}"/>
    <cellStyle name="Normal 3 2 2 2 4" xfId="1838" xr:uid="{00000000-0005-0000-0000-00007C010000}"/>
    <cellStyle name="Normal 3 2 2 2 5" xfId="2316" xr:uid="{00000000-0005-0000-0000-000026010000}"/>
    <cellStyle name="Normal 3 2 2 2 6" xfId="2582" xr:uid="{6707EAA6-F9A0-412A-A3DF-797B1F796A2A}"/>
    <cellStyle name="Normal 3 2 2 3" xfId="467" xr:uid="{00000000-0005-0000-0000-000044020000}"/>
    <cellStyle name="Normal 3 2 2 3 2" xfId="1919" xr:uid="{00000000-0005-0000-0000-0000CD010000}"/>
    <cellStyle name="Normal 3 2 2 4" xfId="688" xr:uid="{00000000-0005-0000-0000-000045020000}"/>
    <cellStyle name="Normal 3 2 2 4 2" xfId="2140" xr:uid="{00000000-0005-0000-0000-0000AA020000}"/>
    <cellStyle name="Normal 3 2 2 5" xfId="782" xr:uid="{00000000-0005-0000-0000-000046020000}"/>
    <cellStyle name="Normal 3 2 2 6" xfId="857" xr:uid="{00000000-0005-0000-0000-0000EB000000}"/>
    <cellStyle name="Normal 3 2 2 7" xfId="953" xr:uid="{00000000-0005-0000-0000-0000AA000000}"/>
    <cellStyle name="Normal 3 2 2 8" xfId="1145" xr:uid="{00000000-0005-0000-0000-0000EB000000}"/>
    <cellStyle name="Normal 3 2 2 9" xfId="1373" xr:uid="{00000000-0005-0000-0000-0000B9000000}"/>
    <cellStyle name="Normal 3 2 3" xfId="225" xr:uid="{00000000-0005-0000-0000-000047020000}"/>
    <cellStyle name="Normal 3 2 3 2" xfId="1678" xr:uid="{00000000-0005-0000-0000-0000DB000000}"/>
    <cellStyle name="Normal 3 2 4" xfId="1508" xr:uid="{00000000-0005-0000-0000-00000A000000}"/>
    <cellStyle name="Normal 3 3" xfId="16" xr:uid="{00000000-0005-0000-0000-000048020000}"/>
    <cellStyle name="Normal 3 3 10" xfId="1393" xr:uid="{00000000-0005-0000-0000-0000ED000000}"/>
    <cellStyle name="Normal 3 3 11" xfId="1510" xr:uid="{00000000-0005-0000-0000-00000C000000}"/>
    <cellStyle name="Normal 3 3 12" xfId="2168" xr:uid="{00000000-0005-0000-0000-000028010000}"/>
    <cellStyle name="Normal 3 3 13" xfId="2417" xr:uid="{BAD1B762-EFCE-4574-B97B-A2CFDCCAFC48}"/>
    <cellStyle name="Normal 3 3 2" xfId="227" xr:uid="{00000000-0005-0000-0000-000049020000}"/>
    <cellStyle name="Normal 3 3 2 2" xfId="1680" xr:uid="{00000000-0005-0000-0000-0000DD000000}"/>
    <cellStyle name="Normal 3 3 3" xfId="240" xr:uid="{00000000-0005-0000-0000-00004A020000}"/>
    <cellStyle name="Normal 3 3 3 10" xfId="1693" xr:uid="{00000000-0005-0000-0000-0000EA000000}"/>
    <cellStyle name="Normal 3 3 3 11" xfId="2198" xr:uid="{00000000-0005-0000-0000-00002A010000}"/>
    <cellStyle name="Normal 3 3 3 12" xfId="2451" xr:uid="{6C0ED310-07DB-4645-8BFE-CA7BD609FF8F}"/>
    <cellStyle name="Normal 3 3 3 2" xfId="248" xr:uid="{00000000-0005-0000-0000-00004B020000}"/>
    <cellStyle name="Normal 3 3 3 2 10" xfId="1701" xr:uid="{00000000-0005-0000-0000-0000F2000000}"/>
    <cellStyle name="Normal 3 3 3 2 11" xfId="2206" xr:uid="{00000000-0005-0000-0000-00002B010000}"/>
    <cellStyle name="Normal 3 3 3 2 12" xfId="2459" xr:uid="{FDA19F9E-1BF0-4642-8FC9-EAD312C2208A}"/>
    <cellStyle name="Normal 3 3 3 2 2" xfId="399" xr:uid="{00000000-0005-0000-0000-00004C020000}"/>
    <cellStyle name="Normal 3 3 3 2 2 2" xfId="626" xr:uid="{00000000-0005-0000-0000-00004D020000}"/>
    <cellStyle name="Normal 3 3 3 2 2 2 2" xfId="2078" xr:uid="{00000000-0005-0000-0000-00006C020000}"/>
    <cellStyle name="Normal 3 3 3 2 2 3" xfId="1295" xr:uid="{00000000-0005-0000-0000-00002C010000}"/>
    <cellStyle name="Normal 3 3 3 2 2 4" xfId="1851" xr:uid="{00000000-0005-0000-0000-000089010000}"/>
    <cellStyle name="Normal 3 3 3 2 2 5" xfId="2329" xr:uid="{00000000-0005-0000-0000-00002C010000}"/>
    <cellStyle name="Normal 3 3 3 2 2 6" xfId="2595" xr:uid="{8BCB5FF3-E036-41AE-90EA-5FF6B99A3B29}"/>
    <cellStyle name="Normal 3 3 3 2 3" xfId="480" xr:uid="{00000000-0005-0000-0000-00004E020000}"/>
    <cellStyle name="Normal 3 3 3 2 3 2" xfId="1932" xr:uid="{00000000-0005-0000-0000-0000DA010000}"/>
    <cellStyle name="Normal 3 3 3 2 4" xfId="701" xr:uid="{00000000-0005-0000-0000-00004F020000}"/>
    <cellStyle name="Normal 3 3 3 2 4 2" xfId="2153" xr:uid="{00000000-0005-0000-0000-0000B7020000}"/>
    <cellStyle name="Normal 3 3 3 2 5" xfId="785" xr:uid="{00000000-0005-0000-0000-000050020000}"/>
    <cellStyle name="Normal 3 3 3 2 6" xfId="811" xr:uid="{00000000-0005-0000-0000-000051020000}"/>
    <cellStyle name="Normal 3 3 3 2 7" xfId="870" xr:uid="{00000000-0005-0000-0000-0000F0000000}"/>
    <cellStyle name="Normal 3 3 3 2 8" xfId="1163" xr:uid="{00000000-0005-0000-0000-0000F0000000}"/>
    <cellStyle name="Normal 3 3 3 2 9" xfId="1431" xr:uid="{00000000-0005-0000-0000-0000F0000000}"/>
    <cellStyle name="Normal 3 3 3 3" xfId="391" xr:uid="{00000000-0005-0000-0000-000052020000}"/>
    <cellStyle name="Normal 3 3 3 3 2" xfId="618" xr:uid="{00000000-0005-0000-0000-000053020000}"/>
    <cellStyle name="Normal 3 3 3 3 2 2" xfId="2070" xr:uid="{00000000-0005-0000-0000-000064020000}"/>
    <cellStyle name="Normal 3 3 3 3 3" xfId="1287" xr:uid="{00000000-0005-0000-0000-00002D010000}"/>
    <cellStyle name="Normal 3 3 3 3 4" xfId="1843" xr:uid="{00000000-0005-0000-0000-000081010000}"/>
    <cellStyle name="Normal 3 3 3 3 5" xfId="2321" xr:uid="{00000000-0005-0000-0000-00002D010000}"/>
    <cellStyle name="Normal 3 3 3 3 6" xfId="2587" xr:uid="{804004BD-F0D2-4ECF-B486-79AC111F83FF}"/>
    <cellStyle name="Normal 3 3 3 4" xfId="472" xr:uid="{00000000-0005-0000-0000-000054020000}"/>
    <cellStyle name="Normal 3 3 3 4 2" xfId="1924" xr:uid="{00000000-0005-0000-0000-0000D2010000}"/>
    <cellStyle name="Normal 3 3 3 5" xfId="693" xr:uid="{00000000-0005-0000-0000-000055020000}"/>
    <cellStyle name="Normal 3 3 3 5 2" xfId="2145" xr:uid="{00000000-0005-0000-0000-0000AF020000}"/>
    <cellStyle name="Normal 3 3 3 6" xfId="784" xr:uid="{00000000-0005-0000-0000-000056020000}"/>
    <cellStyle name="Normal 3 3 3 7" xfId="862" xr:uid="{00000000-0005-0000-0000-0000EF000000}"/>
    <cellStyle name="Normal 3 3 3 8" xfId="1155" xr:uid="{00000000-0005-0000-0000-0000EF000000}"/>
    <cellStyle name="Normal 3 3 3 9" xfId="1423" xr:uid="{00000000-0005-0000-0000-0000EF000000}"/>
    <cellStyle name="Normal 3 3 4" xfId="361" xr:uid="{00000000-0005-0000-0000-000057020000}"/>
    <cellStyle name="Normal 3 3 4 2" xfId="588" xr:uid="{00000000-0005-0000-0000-000058020000}"/>
    <cellStyle name="Normal 3 3 4 2 2" xfId="2040" xr:uid="{00000000-0005-0000-0000-000046020000}"/>
    <cellStyle name="Normal 3 3 4 3" xfId="1268" xr:uid="{00000000-0005-0000-0000-00002E010000}"/>
    <cellStyle name="Normal 3 3 4 4" xfId="1813" xr:uid="{00000000-0005-0000-0000-000063010000}"/>
    <cellStyle name="Normal 3 3 4 5" xfId="2302" xr:uid="{00000000-0005-0000-0000-00002E010000}"/>
    <cellStyle name="Normal 3 3 4 6" xfId="2568" xr:uid="{16774A4F-2A90-4D74-82ED-F01F6AB6ED19}"/>
    <cellStyle name="Normal 3 3 5" xfId="425" xr:uid="{00000000-0005-0000-0000-000059020000}"/>
    <cellStyle name="Normal 3 3 5 2" xfId="1877" xr:uid="{00000000-0005-0000-0000-0000A3010000}"/>
    <cellStyle name="Normal 3 3 6" xfId="647" xr:uid="{00000000-0005-0000-0000-00005A020000}"/>
    <cellStyle name="Normal 3 3 6 2" xfId="2099" xr:uid="{00000000-0005-0000-0000-000081020000}"/>
    <cellStyle name="Normal 3 3 7" xfId="783" xr:uid="{00000000-0005-0000-0000-00005B020000}"/>
    <cellStyle name="Normal 3 3 8" xfId="816" xr:uid="{00000000-0005-0000-0000-0000ED000000}"/>
    <cellStyle name="Normal 3 3 9" xfId="1102" xr:uid="{00000000-0005-0000-0000-0000ED000000}"/>
    <cellStyle name="Normal 3 4" xfId="22" xr:uid="{00000000-0005-0000-0000-00005C020000}"/>
    <cellStyle name="Normal 3 4 2" xfId="228" xr:uid="{00000000-0005-0000-0000-00005D020000}"/>
    <cellStyle name="Normal 3 4 2 10" xfId="2194" xr:uid="{00000000-0005-0000-0000-000030010000}"/>
    <cellStyle name="Normal 3 4 2 11" xfId="2446" xr:uid="{214658CA-E4AE-4D7E-9B3A-0FE5F5FD980E}"/>
    <cellStyle name="Normal 3 4 2 2" xfId="387" xr:uid="{00000000-0005-0000-0000-00005E020000}"/>
    <cellStyle name="Normal 3 4 2 2 2" xfId="614" xr:uid="{00000000-0005-0000-0000-00005F020000}"/>
    <cellStyle name="Normal 3 4 2 2 2 2" xfId="2066" xr:uid="{00000000-0005-0000-0000-000060020000}"/>
    <cellStyle name="Normal 3 4 2 2 3" xfId="1283" xr:uid="{00000000-0005-0000-0000-000031010000}"/>
    <cellStyle name="Normal 3 4 2 2 4" xfId="1839" xr:uid="{00000000-0005-0000-0000-00007D010000}"/>
    <cellStyle name="Normal 3 4 2 2 5" xfId="2317" xr:uid="{00000000-0005-0000-0000-000031010000}"/>
    <cellStyle name="Normal 3 4 2 2 6" xfId="2583" xr:uid="{358726BF-50B7-41C1-85CE-22383C6E9EE1}"/>
    <cellStyle name="Normal 3 4 2 3" xfId="468" xr:uid="{00000000-0005-0000-0000-000060020000}"/>
    <cellStyle name="Normal 3 4 2 3 2" xfId="1920" xr:uid="{00000000-0005-0000-0000-0000CE010000}"/>
    <cellStyle name="Normal 3 4 2 4" xfId="689" xr:uid="{00000000-0005-0000-0000-000061020000}"/>
    <cellStyle name="Normal 3 4 2 4 2" xfId="2141" xr:uid="{00000000-0005-0000-0000-0000AB020000}"/>
    <cellStyle name="Normal 3 4 2 5" xfId="786" xr:uid="{00000000-0005-0000-0000-000062020000}"/>
    <cellStyle name="Normal 3 4 2 6" xfId="858" xr:uid="{00000000-0005-0000-0000-0000F2000000}"/>
    <cellStyle name="Normal 3 4 2 7" xfId="1147" xr:uid="{00000000-0005-0000-0000-0000F2000000}"/>
    <cellStyle name="Normal 3 4 2 8" xfId="1419" xr:uid="{00000000-0005-0000-0000-0000F2000000}"/>
    <cellStyle name="Normal 3 4 2 9" xfId="1681" xr:uid="{00000000-0005-0000-0000-0000DE000000}"/>
    <cellStyle name="Normal 3 4 3" xfId="954" xr:uid="{00000000-0005-0000-0000-0000AC000000}"/>
    <cellStyle name="Normal 3 4 4" xfId="1374" xr:uid="{00000000-0005-0000-0000-0000BB000000}"/>
    <cellStyle name="Normal 3 4 5" xfId="1516" xr:uid="{00000000-0005-0000-0000-000012000000}"/>
    <cellStyle name="Normal 3 5" xfId="246" xr:uid="{00000000-0005-0000-0000-000063020000}"/>
    <cellStyle name="Normal 3 5 10" xfId="1699" xr:uid="{00000000-0005-0000-0000-0000F0000000}"/>
    <cellStyle name="Normal 3 5 11" xfId="2204" xr:uid="{00000000-0005-0000-0000-000032010000}"/>
    <cellStyle name="Normal 3 5 12" xfId="2457" xr:uid="{15090C13-77BC-4A5B-A99B-0392CC67B292}"/>
    <cellStyle name="Normal 3 5 2" xfId="397" xr:uid="{00000000-0005-0000-0000-000064020000}"/>
    <cellStyle name="Normal 3 5 2 2" xfId="624" xr:uid="{00000000-0005-0000-0000-000065020000}"/>
    <cellStyle name="Normal 3 5 2 2 2" xfId="2076" xr:uid="{00000000-0005-0000-0000-00006A020000}"/>
    <cellStyle name="Normal 3 5 2 3" xfId="1293" xr:uid="{00000000-0005-0000-0000-000033010000}"/>
    <cellStyle name="Normal 3 5 2 4" xfId="1849" xr:uid="{00000000-0005-0000-0000-000087010000}"/>
    <cellStyle name="Normal 3 5 2 5" xfId="2327" xr:uid="{00000000-0005-0000-0000-000033010000}"/>
    <cellStyle name="Normal 3 5 2 6" xfId="2593" xr:uid="{243BAC96-964C-485B-9AF6-AFE3971C8A19}"/>
    <cellStyle name="Normal 3 5 3" xfId="478" xr:uid="{00000000-0005-0000-0000-000066020000}"/>
    <cellStyle name="Normal 3 5 3 2" xfId="1930" xr:uid="{00000000-0005-0000-0000-0000D8010000}"/>
    <cellStyle name="Normal 3 5 4" xfId="699" xr:uid="{00000000-0005-0000-0000-000067020000}"/>
    <cellStyle name="Normal 3 5 4 2" xfId="2151" xr:uid="{00000000-0005-0000-0000-0000B5020000}"/>
    <cellStyle name="Normal 3 5 5" xfId="787" xr:uid="{00000000-0005-0000-0000-000068020000}"/>
    <cellStyle name="Normal 3 5 6" xfId="868" xr:uid="{00000000-0005-0000-0000-0000F3000000}"/>
    <cellStyle name="Normal 3 5 7" xfId="1013" xr:uid="{00000000-0005-0000-0000-0000AD000000}"/>
    <cellStyle name="Normal 3 5 8" xfId="1161" xr:uid="{00000000-0005-0000-0000-0000F3000000}"/>
    <cellStyle name="Normal 3 5 9" xfId="1429" xr:uid="{00000000-0005-0000-0000-0000F3000000}"/>
    <cellStyle name="Normal 3 6" xfId="279" xr:uid="{00000000-0005-0000-0000-000069020000}"/>
    <cellStyle name="Normal 3 6 10" xfId="2234" xr:uid="{00000000-0005-0000-0000-000034010000}"/>
    <cellStyle name="Normal 3 6 11" xfId="2489" xr:uid="{D74A1919-942D-486D-9661-E85AC5031639}"/>
    <cellStyle name="Normal 3 6 2" xfId="304" xr:uid="{00000000-0005-0000-0000-00006A020000}"/>
    <cellStyle name="Normal 3 6 2 2" xfId="355" xr:uid="{00000000-0005-0000-0000-00006B020000}"/>
    <cellStyle name="Normal 3 6 2 2 2" xfId="416" xr:uid="{00000000-0005-0000-0000-00006C020000}"/>
    <cellStyle name="Normal 3 6 2 2 2 2" xfId="641" xr:uid="{00000000-0005-0000-0000-00006D020000}"/>
    <cellStyle name="Normal 3 6 2 2 2 2 2" xfId="2093" xr:uid="{00000000-0005-0000-0000-00007B020000}"/>
    <cellStyle name="Normal 3 6 2 2 2 3" xfId="1868" xr:uid="{00000000-0005-0000-0000-00009A010000}"/>
    <cellStyle name="Normal 3 6 2 2 3" xfId="582" xr:uid="{00000000-0005-0000-0000-00006E020000}"/>
    <cellStyle name="Normal 3 6 2 2 3 2" xfId="2034" xr:uid="{00000000-0005-0000-0000-000040020000}"/>
    <cellStyle name="Normal 3 6 2 2 4" xfId="1346" xr:uid="{00000000-0005-0000-0000-000036010000}"/>
    <cellStyle name="Normal 3 6 2 2 5" xfId="1807" xr:uid="{00000000-0005-0000-0000-00005D010000}"/>
    <cellStyle name="Normal 3 6 2 2 6" xfId="2382" xr:uid="{00000000-0005-0000-0000-000036010000}"/>
    <cellStyle name="Normal 3 6 2 2 7" xfId="2534" xr:uid="{BDE3F26A-8651-4F62-A80A-82917D262CD1}"/>
    <cellStyle name="Normal 3 6 2 3" xfId="533" xr:uid="{00000000-0005-0000-0000-00006F020000}"/>
    <cellStyle name="Normal 3 6 2 3 2" xfId="1985" xr:uid="{00000000-0005-0000-0000-00000F020000}"/>
    <cellStyle name="Normal 3 6 2 4" xfId="923" xr:uid="{00000000-0005-0000-0000-0000F5000000}"/>
    <cellStyle name="Normal 3 6 2 5" xfId="1218" xr:uid="{00000000-0005-0000-0000-0000F5000000}"/>
    <cellStyle name="Normal 3 6 2 6" xfId="1484" xr:uid="{00000000-0005-0000-0000-0000F5000000}"/>
    <cellStyle name="Normal 3 6 2 7" xfId="1757" xr:uid="{00000000-0005-0000-0000-00002A010000}"/>
    <cellStyle name="Normal 3 6 2 8" xfId="2259" xr:uid="{00000000-0005-0000-0000-000035010000}"/>
    <cellStyle name="Normal 3 6 2 9" xfId="2514" xr:uid="{7D392F02-E960-4417-8A61-9959D3AB785F}"/>
    <cellStyle name="Normal 3 6 3" xfId="415" xr:uid="{00000000-0005-0000-0000-000070020000}"/>
    <cellStyle name="Normal 3 6 3 2" xfId="640" xr:uid="{00000000-0005-0000-0000-000071020000}"/>
    <cellStyle name="Normal 3 6 3 2 2" xfId="2092" xr:uid="{00000000-0005-0000-0000-00007A020000}"/>
    <cellStyle name="Normal 3 6 3 3" xfId="1323" xr:uid="{00000000-0005-0000-0000-000037010000}"/>
    <cellStyle name="Normal 3 6 3 4" xfId="1867" xr:uid="{00000000-0005-0000-0000-000099010000}"/>
    <cellStyle name="Normal 3 6 3 5" xfId="2357" xr:uid="{00000000-0005-0000-0000-000037010000}"/>
    <cellStyle name="Normal 3 6 3 6" xfId="2623" xr:uid="{4FFEAD21-497B-42C6-BD9F-E337F249AEAB}"/>
    <cellStyle name="Normal 3 6 4" xfId="508" xr:uid="{00000000-0005-0000-0000-000072020000}"/>
    <cellStyle name="Normal 3 6 4 2" xfId="1960" xr:uid="{00000000-0005-0000-0000-0000F6010000}"/>
    <cellStyle name="Normal 3 6 5" xfId="788" xr:uid="{00000000-0005-0000-0000-000073020000}"/>
    <cellStyle name="Normal 3 6 6" xfId="898" xr:uid="{00000000-0005-0000-0000-0000F4000000}"/>
    <cellStyle name="Normal 3 6 7" xfId="1193" xr:uid="{00000000-0005-0000-0000-0000F4000000}"/>
    <cellStyle name="Normal 3 6 8" xfId="1459" xr:uid="{00000000-0005-0000-0000-0000F4000000}"/>
    <cellStyle name="Normal 3 6 9" xfId="1732" xr:uid="{00000000-0005-0000-0000-000011010000}"/>
    <cellStyle name="Normal 3 7" xfId="283" xr:uid="{00000000-0005-0000-0000-000074020000}"/>
    <cellStyle name="Normal 3 7 10" xfId="2493" xr:uid="{67F449DF-7D86-4140-BF1A-AD0B774F92BC}"/>
    <cellStyle name="Normal 3 7 2" xfId="310" xr:uid="{00000000-0005-0000-0000-000075020000}"/>
    <cellStyle name="Normal 3 7 2 2" xfId="311" xr:uid="{00000000-0005-0000-0000-000076020000}"/>
    <cellStyle name="Normal 3 7 2 2 2" xfId="540" xr:uid="{00000000-0005-0000-0000-000077020000}"/>
    <cellStyle name="Normal 3 7 2 2 2 2" xfId="1353" xr:uid="{00000000-0005-0000-0000-00003B010000}"/>
    <cellStyle name="Normal 3 7 2 2 2 3" xfId="1992" xr:uid="{00000000-0005-0000-0000-000016020000}"/>
    <cellStyle name="Normal 3 7 2 2 2 4" xfId="2389" xr:uid="{00000000-0005-0000-0000-00003B010000}"/>
    <cellStyle name="Normal 3 7 2 2 2 5" xfId="2648" xr:uid="{4BAAC685-6463-49A6-90BE-E6E333E6B08C}"/>
    <cellStyle name="Normal 3 7 2 2 3" xfId="932" xr:uid="{00000000-0005-0000-0000-0000F8000000}"/>
    <cellStyle name="Normal 3 7 2 2 4" xfId="1227" xr:uid="{00000000-0005-0000-0000-0000F8000000}"/>
    <cellStyle name="Normal 3 7 2 2 5" xfId="1493" xr:uid="{00000000-0005-0000-0000-0000F8000000}"/>
    <cellStyle name="Normal 3 7 2 2 6" xfId="1764" xr:uid="{00000000-0005-0000-0000-000031010000}"/>
    <cellStyle name="Normal 3 7 2 2 7" xfId="2266" xr:uid="{00000000-0005-0000-0000-00003A010000}"/>
    <cellStyle name="Normal 3 7 2 2 8" xfId="2523" xr:uid="{258EC435-4BCD-4BE9-9101-A971EC3EB888}"/>
    <cellStyle name="Normal 3 7 2 3" xfId="539" xr:uid="{00000000-0005-0000-0000-000078020000}"/>
    <cellStyle name="Normal 3 7 2 3 2" xfId="1352" xr:uid="{00000000-0005-0000-0000-00003C010000}"/>
    <cellStyle name="Normal 3 7 2 3 3" xfId="1991" xr:uid="{00000000-0005-0000-0000-000015020000}"/>
    <cellStyle name="Normal 3 7 2 3 4" xfId="2388" xr:uid="{00000000-0005-0000-0000-00003C010000}"/>
    <cellStyle name="Normal 3 7 2 3 5" xfId="2647" xr:uid="{A2D8CDCD-D674-4557-862C-6388691F76F2}"/>
    <cellStyle name="Normal 3 7 2 4" xfId="929" xr:uid="{00000000-0005-0000-0000-0000F7000000}"/>
    <cellStyle name="Normal 3 7 2 5" xfId="1224" xr:uid="{00000000-0005-0000-0000-0000F7000000}"/>
    <cellStyle name="Normal 3 7 2 6" xfId="1490" xr:uid="{00000000-0005-0000-0000-0000F7000000}"/>
    <cellStyle name="Normal 3 7 2 7" xfId="1763" xr:uid="{00000000-0005-0000-0000-000030010000}"/>
    <cellStyle name="Normal 3 7 2 8" xfId="2265" xr:uid="{00000000-0005-0000-0000-000039010000}"/>
    <cellStyle name="Normal 3 7 2 9" xfId="2520" xr:uid="{7053BA02-62CF-46A6-B80D-F0EDCCE49D49}"/>
    <cellStyle name="Normal 3 7 3" xfId="512" xr:uid="{00000000-0005-0000-0000-000079020000}"/>
    <cellStyle name="Normal 3 7 3 2" xfId="930" xr:uid="{00000000-0005-0000-0000-0000F9000000}"/>
    <cellStyle name="Normal 3 7 3 3" xfId="1225" xr:uid="{00000000-0005-0000-0000-0000F9000000}"/>
    <cellStyle name="Normal 3 7 3 4" xfId="1491" xr:uid="{00000000-0005-0000-0000-0000F9000000}"/>
    <cellStyle name="Normal 3 7 3 5" xfId="1964" xr:uid="{00000000-0005-0000-0000-0000FA010000}"/>
    <cellStyle name="Normal 3 7 3 6" xfId="2361" xr:uid="{00000000-0005-0000-0000-00003D010000}"/>
    <cellStyle name="Normal 3 7 3 7" xfId="2521" xr:uid="{36728D77-2BFB-4E3B-B3DD-6F4AA511D889}"/>
    <cellStyle name="Normal 3 7 4" xfId="789" xr:uid="{00000000-0005-0000-0000-00007A020000}"/>
    <cellStyle name="Normal 3 7 5" xfId="902" xr:uid="{00000000-0005-0000-0000-0000F6000000}"/>
    <cellStyle name="Normal 3 7 6" xfId="1197" xr:uid="{00000000-0005-0000-0000-0000F6000000}"/>
    <cellStyle name="Normal 3 7 7" xfId="1463" xr:uid="{00000000-0005-0000-0000-0000F6000000}"/>
    <cellStyle name="Normal 3 7 8" xfId="1736" xr:uid="{00000000-0005-0000-0000-000015010000}"/>
    <cellStyle name="Normal 3 7 9" xfId="2238" xr:uid="{00000000-0005-0000-0000-000038010000}"/>
    <cellStyle name="Normal 3 8" xfId="306" xr:uid="{00000000-0005-0000-0000-00007B020000}"/>
    <cellStyle name="Normal 3 8 2" xfId="354" xr:uid="{00000000-0005-0000-0000-00007C020000}"/>
    <cellStyle name="Normal 3 8 2 2" xfId="581" xr:uid="{00000000-0005-0000-0000-00007D020000}"/>
    <cellStyle name="Normal 3 8 2 2 2" xfId="2033" xr:uid="{00000000-0005-0000-0000-00003F020000}"/>
    <cellStyle name="Normal 3 8 2 3" xfId="1348" xr:uid="{00000000-0005-0000-0000-00003F010000}"/>
    <cellStyle name="Normal 3 8 2 4" xfId="1806" xr:uid="{00000000-0005-0000-0000-00005C010000}"/>
    <cellStyle name="Normal 3 8 2 5" xfId="2384" xr:uid="{00000000-0005-0000-0000-00003F010000}"/>
    <cellStyle name="Normal 3 8 2 6" xfId="2532" xr:uid="{4BAE38D5-90DD-4664-AA19-A17064E7D24D}"/>
    <cellStyle name="Normal 3 8 3" xfId="535" xr:uid="{00000000-0005-0000-0000-00007E020000}"/>
    <cellStyle name="Normal 3 8 3 2" xfId="1987" xr:uid="{00000000-0005-0000-0000-000011020000}"/>
    <cellStyle name="Normal 3 8 4" xfId="925" xr:uid="{00000000-0005-0000-0000-0000FA000000}"/>
    <cellStyle name="Normal 3 8 5" xfId="1220" xr:uid="{00000000-0005-0000-0000-0000FA000000}"/>
    <cellStyle name="Normal 3 8 6" xfId="1486" xr:uid="{00000000-0005-0000-0000-0000FA000000}"/>
    <cellStyle name="Normal 3 8 7" xfId="1759" xr:uid="{00000000-0005-0000-0000-00002C010000}"/>
    <cellStyle name="Normal 3 8 8" xfId="2261" xr:uid="{00000000-0005-0000-0000-00003E010000}"/>
    <cellStyle name="Normal 3 8 9" xfId="2516" xr:uid="{D141F837-CB71-4926-A5F3-5786D6B353AA}"/>
    <cellStyle name="Normal 3 9" xfId="358" xr:uid="{00000000-0005-0000-0000-00007F020000}"/>
    <cellStyle name="Normal 3 9 2" xfId="585" xr:uid="{00000000-0005-0000-0000-000080020000}"/>
    <cellStyle name="Normal 3 9 2 2" xfId="2037" xr:uid="{00000000-0005-0000-0000-000043020000}"/>
    <cellStyle name="Normal 3 9 3" xfId="1264" xr:uid="{00000000-0005-0000-0000-000040010000}"/>
    <cellStyle name="Normal 3 9 4" xfId="1810" xr:uid="{00000000-0005-0000-0000-000060010000}"/>
    <cellStyle name="Normal 3 9 5" xfId="2299" xr:uid="{00000000-0005-0000-0000-000040010000}"/>
    <cellStyle name="Normal 3 9 6" xfId="2565" xr:uid="{FA796F6B-B590-4E36-ACA5-090FB536A18B}"/>
    <cellStyle name="Normal 4" xfId="12" xr:uid="{00000000-0005-0000-0000-000081020000}"/>
    <cellStyle name="Normal 4 2" xfId="141" xr:uid="{00000000-0005-0000-0000-000082020000}"/>
    <cellStyle name="Normal 4 2 10" xfId="1596" xr:uid="{00000000-0005-0000-0000-000089000000}"/>
    <cellStyle name="Normal 4 2 11" xfId="2188" xr:uid="{00000000-0005-0000-0000-000042010000}"/>
    <cellStyle name="Normal 4 2 12" xfId="2438" xr:uid="{4D38F5FA-A88B-4B84-A122-7313962034C9}"/>
    <cellStyle name="Normal 4 2 2" xfId="381" xr:uid="{00000000-0005-0000-0000-000083020000}"/>
    <cellStyle name="Normal 4 2 2 2" xfId="608" xr:uid="{00000000-0005-0000-0000-000084020000}"/>
    <cellStyle name="Normal 4 2 2 2 2" xfId="2060" xr:uid="{00000000-0005-0000-0000-00005A020000}"/>
    <cellStyle name="Normal 4 2 2 3" xfId="1036" xr:uid="{00000000-0005-0000-0000-000088000000}"/>
    <cellStyle name="Normal 4 2 2 4" xfId="1276" xr:uid="{00000000-0005-0000-0000-000043010000}"/>
    <cellStyle name="Normal 4 2 2 5" xfId="1833" xr:uid="{00000000-0005-0000-0000-000077010000}"/>
    <cellStyle name="Normal 4 2 2 6" xfId="2310" xr:uid="{00000000-0005-0000-0000-000043010000}"/>
    <cellStyle name="Normal 4 2 2 7" xfId="2576" xr:uid="{4A13154A-EEA5-4AD6-8610-79DE71A8B071}"/>
    <cellStyle name="Normal 4 2 3" xfId="453" xr:uid="{00000000-0005-0000-0000-000085020000}"/>
    <cellStyle name="Normal 4 2 3 2" xfId="1905" xr:uid="{00000000-0005-0000-0000-0000BF010000}"/>
    <cellStyle name="Normal 4 2 4" xfId="675" xr:uid="{00000000-0005-0000-0000-000086020000}"/>
    <cellStyle name="Normal 4 2 4 2" xfId="2127" xr:uid="{00000000-0005-0000-0000-00009D020000}"/>
    <cellStyle name="Normal 4 2 5" xfId="790" xr:uid="{00000000-0005-0000-0000-000087020000}"/>
    <cellStyle name="Normal 4 2 6" xfId="844" xr:uid="{00000000-0005-0000-0000-0000FC000000}"/>
    <cellStyle name="Normal 4 2 7" xfId="1014" xr:uid="{00000000-0005-0000-0000-0000AF000000}"/>
    <cellStyle name="Normal 4 2 8" xfId="1131" xr:uid="{00000000-0005-0000-0000-0000FC000000}"/>
    <cellStyle name="Normal 4 2 9" xfId="1413" xr:uid="{00000000-0005-0000-0000-0000FC000000}"/>
    <cellStyle name="Normal 4 3" xfId="229" xr:uid="{00000000-0005-0000-0000-000088020000}"/>
    <cellStyle name="Normal 4 3 10" xfId="2195" xr:uid="{00000000-0005-0000-0000-000044010000}"/>
    <cellStyle name="Normal 4 3 11" xfId="2447" xr:uid="{FB171829-83FE-472C-9A61-F854D387D68D}"/>
    <cellStyle name="Normal 4 3 2" xfId="388" xr:uid="{00000000-0005-0000-0000-000089020000}"/>
    <cellStyle name="Normal 4 3 2 2" xfId="615" xr:uid="{00000000-0005-0000-0000-00008A020000}"/>
    <cellStyle name="Normal 4 3 2 2 2" xfId="2067" xr:uid="{00000000-0005-0000-0000-000061020000}"/>
    <cellStyle name="Normal 4 3 2 3" xfId="1284" xr:uid="{00000000-0005-0000-0000-000045010000}"/>
    <cellStyle name="Normal 4 3 2 4" xfId="1840" xr:uid="{00000000-0005-0000-0000-00007E010000}"/>
    <cellStyle name="Normal 4 3 2 5" xfId="2318" xr:uid="{00000000-0005-0000-0000-000045010000}"/>
    <cellStyle name="Normal 4 3 2 6" xfId="2584" xr:uid="{FF4E312B-333A-4DC7-9841-E7864BFA0EC7}"/>
    <cellStyle name="Normal 4 3 3" xfId="469" xr:uid="{00000000-0005-0000-0000-00008B020000}"/>
    <cellStyle name="Normal 4 3 3 2" xfId="1921" xr:uid="{00000000-0005-0000-0000-0000CF010000}"/>
    <cellStyle name="Normal 4 3 4" xfId="690" xr:uid="{00000000-0005-0000-0000-00008C020000}"/>
    <cellStyle name="Normal 4 3 4 2" xfId="2142" xr:uid="{00000000-0005-0000-0000-0000AC020000}"/>
    <cellStyle name="Normal 4 3 5" xfId="791" xr:uid="{00000000-0005-0000-0000-00008D020000}"/>
    <cellStyle name="Normal 4 3 6" xfId="859" xr:uid="{00000000-0005-0000-0000-0000FD000000}"/>
    <cellStyle name="Normal 4 3 7" xfId="1148" xr:uid="{00000000-0005-0000-0000-0000FD000000}"/>
    <cellStyle name="Normal 4 3 8" xfId="1420" xr:uid="{00000000-0005-0000-0000-0000FD000000}"/>
    <cellStyle name="Normal 4 3 9" xfId="1682" xr:uid="{00000000-0005-0000-0000-0000DF000000}"/>
    <cellStyle name="Normal 4 4" xfId="276" xr:uid="{00000000-0005-0000-0000-00008E020000}"/>
    <cellStyle name="Normal 4 4 2" xfId="505" xr:uid="{00000000-0005-0000-0000-00008F020000}"/>
    <cellStyle name="Normal 4 4 2 2" xfId="1320" xr:uid="{00000000-0005-0000-0000-000047010000}"/>
    <cellStyle name="Normal 4 4 2 3" xfId="1957" xr:uid="{00000000-0005-0000-0000-0000F3010000}"/>
    <cellStyle name="Normal 4 4 2 4" xfId="2354" xr:uid="{00000000-0005-0000-0000-000047010000}"/>
    <cellStyle name="Normal 4 4 2 5" xfId="2620" xr:uid="{C2F30829-9C93-4BB0-BD48-964D61E0FD5D}"/>
    <cellStyle name="Normal 4 4 3" xfId="792" xr:uid="{00000000-0005-0000-0000-000090020000}"/>
    <cellStyle name="Normal 4 4 4" xfId="895" xr:uid="{00000000-0005-0000-0000-0000FE000000}"/>
    <cellStyle name="Normal 4 4 5" xfId="1190" xr:uid="{00000000-0005-0000-0000-0000FE000000}"/>
    <cellStyle name="Normal 4 4 6" xfId="1456" xr:uid="{00000000-0005-0000-0000-0000FE000000}"/>
    <cellStyle name="Normal 4 4 7" xfId="1729" xr:uid="{00000000-0005-0000-0000-00000E010000}"/>
    <cellStyle name="Normal 4 4 8" xfId="2231" xr:uid="{00000000-0005-0000-0000-000046010000}"/>
    <cellStyle name="Normal 4 4 9" xfId="2486" xr:uid="{FAA2E6AD-2D9A-4EC0-96CC-34943FB88214}"/>
    <cellStyle name="Normal 4 5" xfId="300" xr:uid="{00000000-0005-0000-0000-000091020000}"/>
    <cellStyle name="Normal 4 5 2" xfId="529" xr:uid="{00000000-0005-0000-0000-000092020000}"/>
    <cellStyle name="Normal 4 5 2 2" xfId="1342" xr:uid="{00000000-0005-0000-0000-000049010000}"/>
    <cellStyle name="Normal 4 5 2 3" xfId="1981" xr:uid="{00000000-0005-0000-0000-00000B020000}"/>
    <cellStyle name="Normal 4 5 2 4" xfId="2378" xr:uid="{00000000-0005-0000-0000-000049010000}"/>
    <cellStyle name="Normal 4 5 2 5" xfId="2642" xr:uid="{BCBE907D-EFFB-49F7-983F-C3E3B22B428D}"/>
    <cellStyle name="Normal 4 5 3" xfId="919" xr:uid="{00000000-0005-0000-0000-0000FF000000}"/>
    <cellStyle name="Normal 4 5 4" xfId="1214" xr:uid="{00000000-0005-0000-0000-0000FF000000}"/>
    <cellStyle name="Normal 4 5 5" xfId="1480" xr:uid="{00000000-0005-0000-0000-0000FF000000}"/>
    <cellStyle name="Normal 4 5 6" xfId="1753" xr:uid="{00000000-0005-0000-0000-000026010000}"/>
    <cellStyle name="Normal 4 5 7" xfId="2255" xr:uid="{00000000-0005-0000-0000-000048010000}"/>
    <cellStyle name="Normal 4 5 8" xfId="2510" xr:uid="{74377755-41E0-41F9-A6B4-888BEA18EB3F}"/>
    <cellStyle name="Normal 4 6" xfId="955" xr:uid="{00000000-0005-0000-0000-0000AE000000}"/>
    <cellStyle name="Normal 4 7" xfId="1375" xr:uid="{00000000-0005-0000-0000-0000BD000000}"/>
    <cellStyle name="Normal 4 8" xfId="1506" xr:uid="{00000000-0005-0000-0000-000008000000}"/>
    <cellStyle name="Normal 5" xfId="24" xr:uid="{00000000-0005-0000-0000-000093020000}"/>
    <cellStyle name="Normal 5 10" xfId="1396" xr:uid="{00000000-0005-0000-0000-000000010000}"/>
    <cellStyle name="Normal 5 11" xfId="1518" xr:uid="{00000000-0005-0000-0000-000014000000}"/>
    <cellStyle name="Normal 5 12" xfId="2171" xr:uid="{00000000-0005-0000-0000-00004A010000}"/>
    <cellStyle name="Normal 5 13" xfId="2421" xr:uid="{7C8760FB-6D67-43EA-A5F7-B1E39F64D250}"/>
    <cellStyle name="Normal 5 2" xfId="142" xr:uid="{00000000-0005-0000-0000-000094020000}"/>
    <cellStyle name="Normal 5 2 2" xfId="1015" xr:uid="{00000000-0005-0000-0000-0000B1000000}"/>
    <cellStyle name="Normal 5 2 3" xfId="1597" xr:uid="{00000000-0005-0000-0000-00008A000000}"/>
    <cellStyle name="Normal 5 3" xfId="364" xr:uid="{00000000-0005-0000-0000-000095020000}"/>
    <cellStyle name="Normal 5 3 2" xfId="591" xr:uid="{00000000-0005-0000-0000-000096020000}"/>
    <cellStyle name="Normal 5 3 2 2" xfId="2043" xr:uid="{00000000-0005-0000-0000-000049020000}"/>
    <cellStyle name="Normal 5 3 3" xfId="1038" xr:uid="{00000000-0005-0000-0000-000089000000}"/>
    <cellStyle name="Normal 5 3 4" xfId="1271" xr:uid="{00000000-0005-0000-0000-00004C010000}"/>
    <cellStyle name="Normal 5 3 5" xfId="1816" xr:uid="{00000000-0005-0000-0000-000066010000}"/>
    <cellStyle name="Normal 5 3 6" xfId="2305" xr:uid="{00000000-0005-0000-0000-00004C010000}"/>
    <cellStyle name="Normal 5 3 7" xfId="2571" xr:uid="{6C0B0785-A9C6-4C42-85A1-E9C67EA5453B}"/>
    <cellStyle name="Normal 5 4" xfId="428" xr:uid="{00000000-0005-0000-0000-000097020000}"/>
    <cellStyle name="Normal 5 4 2" xfId="1880" xr:uid="{00000000-0005-0000-0000-0000A6010000}"/>
    <cellStyle name="Normal 5 5" xfId="650" xr:uid="{00000000-0005-0000-0000-000098020000}"/>
    <cellStyle name="Normal 5 5 2" xfId="2102" xr:uid="{00000000-0005-0000-0000-000084020000}"/>
    <cellStyle name="Normal 5 6" xfId="793" xr:uid="{00000000-0005-0000-0000-000099020000}"/>
    <cellStyle name="Normal 5 7" xfId="819" xr:uid="{00000000-0005-0000-0000-000000010000}"/>
    <cellStyle name="Normal 5 8" xfId="1001" xr:uid="{00000000-0005-0000-0000-0000B0000000}"/>
    <cellStyle name="Normal 5 9" xfId="1107" xr:uid="{00000000-0005-0000-0000-000000010000}"/>
    <cellStyle name="Normal 6" xfId="25" xr:uid="{00000000-0005-0000-0000-00009A020000}"/>
    <cellStyle name="Normal 6 10" xfId="1519" xr:uid="{00000000-0005-0000-0000-000015000000}"/>
    <cellStyle name="Normal 6 11" xfId="2172" xr:uid="{00000000-0005-0000-0000-00004D010000}"/>
    <cellStyle name="Normal 6 12" xfId="2422" xr:uid="{608F7680-E582-4B63-9034-CDF015733E84}"/>
    <cellStyle name="Normal 6 2" xfId="365" xr:uid="{00000000-0005-0000-0000-00009B020000}"/>
    <cellStyle name="Normal 6 2 2" xfId="592" xr:uid="{00000000-0005-0000-0000-00009C020000}"/>
    <cellStyle name="Normal 6 2 2 2" xfId="2044" xr:uid="{00000000-0005-0000-0000-00004A020000}"/>
    <cellStyle name="Normal 6 2 3" xfId="1042" xr:uid="{00000000-0005-0000-0000-00008A000000}"/>
    <cellStyle name="Normal 6 2 4" xfId="1272" xr:uid="{00000000-0005-0000-0000-00004E010000}"/>
    <cellStyle name="Normal 6 2 5" xfId="1817" xr:uid="{00000000-0005-0000-0000-000067010000}"/>
    <cellStyle name="Normal 6 2 6" xfId="2306" xr:uid="{00000000-0005-0000-0000-00004E010000}"/>
    <cellStyle name="Normal 6 2 7" xfId="2572" xr:uid="{8B94B85C-FF39-4886-A2DF-3EC70E5A30ED}"/>
    <cellStyle name="Normal 6 3" xfId="429" xr:uid="{00000000-0005-0000-0000-00009D020000}"/>
    <cellStyle name="Normal 6 3 2" xfId="1881" xr:uid="{00000000-0005-0000-0000-0000A7010000}"/>
    <cellStyle name="Normal 6 4" xfId="651" xr:uid="{00000000-0005-0000-0000-00009E020000}"/>
    <cellStyle name="Normal 6 4 2" xfId="2103" xr:uid="{00000000-0005-0000-0000-000085020000}"/>
    <cellStyle name="Normal 6 5" xfId="794" xr:uid="{00000000-0005-0000-0000-00009F020000}"/>
    <cellStyle name="Normal 6 6" xfId="820" xr:uid="{00000000-0005-0000-0000-000002010000}"/>
    <cellStyle name="Normal 6 7" xfId="1016" xr:uid="{00000000-0005-0000-0000-0000B2000000}"/>
    <cellStyle name="Normal 6 8" xfId="1108" xr:uid="{00000000-0005-0000-0000-000002010000}"/>
    <cellStyle name="Normal 6 9" xfId="1397" xr:uid="{00000000-0005-0000-0000-000002010000}"/>
    <cellStyle name="Normal 7" xfId="66" xr:uid="{00000000-0005-0000-0000-0000A0020000}"/>
    <cellStyle name="Normal 7 10" xfId="1521" xr:uid="{00000000-0005-0000-0000-00003E000000}"/>
    <cellStyle name="Normal 7 11" xfId="2186" xr:uid="{00000000-0005-0000-0000-00004F010000}"/>
    <cellStyle name="Normal 7 12" xfId="2436" xr:uid="{ACFA3086-0B57-4F58-8EC7-CC908CA1D33D}"/>
    <cellStyle name="Normal 7 2" xfId="379" xr:uid="{00000000-0005-0000-0000-0000A1020000}"/>
    <cellStyle name="Normal 7 2 2" xfId="606" xr:uid="{00000000-0005-0000-0000-0000A2020000}"/>
    <cellStyle name="Normal 7 2 2 2" xfId="2058" xr:uid="{00000000-0005-0000-0000-000058020000}"/>
    <cellStyle name="Normal 7 2 3" xfId="1046" xr:uid="{00000000-0005-0000-0000-00008B000000}"/>
    <cellStyle name="Normal 7 2 4" xfId="1274" xr:uid="{00000000-0005-0000-0000-000050010000}"/>
    <cellStyle name="Normal 7 2 5" xfId="1831" xr:uid="{00000000-0005-0000-0000-000075010000}"/>
    <cellStyle name="Normal 7 2 6" xfId="2308" xr:uid="{00000000-0005-0000-0000-000050010000}"/>
    <cellStyle name="Normal 7 2 7" xfId="2574" xr:uid="{49611590-2206-4BA8-8AC3-C9C8D1716F95}"/>
    <cellStyle name="Normal 7 3" xfId="443" xr:uid="{00000000-0005-0000-0000-0000A3020000}"/>
    <cellStyle name="Normal 7 3 2" xfId="1895" xr:uid="{00000000-0005-0000-0000-0000B5010000}"/>
    <cellStyle name="Normal 7 4" xfId="665" xr:uid="{00000000-0005-0000-0000-0000A4020000}"/>
    <cellStyle name="Normal 7 4 2" xfId="2117" xr:uid="{00000000-0005-0000-0000-000093020000}"/>
    <cellStyle name="Normal 7 5" xfId="795" xr:uid="{00000000-0005-0000-0000-0000A5020000}"/>
    <cellStyle name="Normal 7 6" xfId="834" xr:uid="{00000000-0005-0000-0000-000003010000}"/>
    <cellStyle name="Normal 7 7" xfId="1017" xr:uid="{00000000-0005-0000-0000-0000B3000000}"/>
    <cellStyle name="Normal 7 8" xfId="1123" xr:uid="{00000000-0005-0000-0000-000003010000}"/>
    <cellStyle name="Normal 7 9" xfId="1411" xr:uid="{00000000-0005-0000-0000-000003010000}"/>
    <cellStyle name="Normal 8" xfId="169" xr:uid="{00000000-0005-0000-0000-0000A6020000}"/>
    <cellStyle name="Normal 8 10" xfId="1621" xr:uid="{00000000-0005-0000-0000-0000A2000000}"/>
    <cellStyle name="Normal 8 11" xfId="2191" xr:uid="{00000000-0005-0000-0000-000051010000}"/>
    <cellStyle name="Normal 8 12" xfId="2442" xr:uid="{FE31BDCF-8152-4C6B-8938-BA068735929A}"/>
    <cellStyle name="Normal 8 2" xfId="384" xr:uid="{00000000-0005-0000-0000-0000A7020000}"/>
    <cellStyle name="Normal 8 2 2" xfId="611" xr:uid="{00000000-0005-0000-0000-0000A8020000}"/>
    <cellStyle name="Normal 8 2 2 2" xfId="2063" xr:uid="{00000000-0005-0000-0000-00005D020000}"/>
    <cellStyle name="Normal 8 2 3" xfId="1050" xr:uid="{00000000-0005-0000-0000-00008C000000}"/>
    <cellStyle name="Normal 8 2 4" xfId="1280" xr:uid="{00000000-0005-0000-0000-000052010000}"/>
    <cellStyle name="Normal 8 2 5" xfId="1836" xr:uid="{00000000-0005-0000-0000-00007A010000}"/>
    <cellStyle name="Normal 8 2 6" xfId="2314" xr:uid="{00000000-0005-0000-0000-000052010000}"/>
    <cellStyle name="Normal 8 2 7" xfId="2580" xr:uid="{C99C7AEF-8600-439C-8C87-D482AA53DDAB}"/>
    <cellStyle name="Normal 8 3" xfId="456" xr:uid="{00000000-0005-0000-0000-0000A9020000}"/>
    <cellStyle name="Normal 8 3 2" xfId="1908" xr:uid="{00000000-0005-0000-0000-0000C2010000}"/>
    <cellStyle name="Normal 8 4" xfId="678" xr:uid="{00000000-0005-0000-0000-0000AA020000}"/>
    <cellStyle name="Normal 8 4 2" xfId="2130" xr:uid="{00000000-0005-0000-0000-0000A0020000}"/>
    <cellStyle name="Normal 8 5" xfId="796" xr:uid="{00000000-0005-0000-0000-0000AB020000}"/>
    <cellStyle name="Normal 8 6" xfId="847" xr:uid="{00000000-0005-0000-0000-000004010000}"/>
    <cellStyle name="Normal 8 7" xfId="1018" xr:uid="{00000000-0005-0000-0000-0000B4000000}"/>
    <cellStyle name="Normal 8 8" xfId="1136" xr:uid="{00000000-0005-0000-0000-000004010000}"/>
    <cellStyle name="Normal 8 9" xfId="1416" xr:uid="{00000000-0005-0000-0000-000004010000}"/>
    <cellStyle name="Normal 9" xfId="239" xr:uid="{00000000-0005-0000-0000-0000AC020000}"/>
    <cellStyle name="Normal 9 10" xfId="1422" xr:uid="{00000000-0005-0000-0000-000005010000}"/>
    <cellStyle name="Normal 9 11" xfId="1692" xr:uid="{00000000-0005-0000-0000-0000E9000000}"/>
    <cellStyle name="Normal 9 12" xfId="2197" xr:uid="{00000000-0005-0000-0000-000053010000}"/>
    <cellStyle name="Normal 9 13" xfId="2450" xr:uid="{0FCEE0A3-9851-4D18-BD95-A958D578F869}"/>
    <cellStyle name="Normal 9 2" xfId="285" xr:uid="{00000000-0005-0000-0000-0000AD020000}"/>
    <cellStyle name="Normal 9 2 10" xfId="2240" xr:uid="{00000000-0005-0000-0000-000054010000}"/>
    <cellStyle name="Normal 9 2 11" xfId="2495" xr:uid="{73F63C26-7547-4211-8373-EAE8E91F22C1}"/>
    <cellStyle name="Normal 9 2 2" xfId="357" xr:uid="{00000000-0005-0000-0000-0000AE020000}"/>
    <cellStyle name="Normal 9 2 2 2" xfId="584" xr:uid="{00000000-0005-0000-0000-0000AF020000}"/>
    <cellStyle name="Normal 9 2 2 2 2" xfId="1371" xr:uid="{00000000-0005-0000-0000-000056010000}"/>
    <cellStyle name="Normal 9 2 2 2 3" xfId="2036" xr:uid="{00000000-0005-0000-0000-000042020000}"/>
    <cellStyle name="Normal 9 2 2 2 4" xfId="2407" xr:uid="{00000000-0005-0000-0000-000056010000}"/>
    <cellStyle name="Normal 9 2 2 2 5" xfId="2666" xr:uid="{E8FB5A83-525A-4D5C-B9AF-3E920B6B7617}"/>
    <cellStyle name="Normal 9 2 2 3" xfId="1249" xr:uid="{00000000-0005-0000-0000-000055010000}"/>
    <cellStyle name="Normal 9 2 2 4" xfId="1809" xr:uid="{00000000-0005-0000-0000-00005F010000}"/>
    <cellStyle name="Normal 9 2 2 5" xfId="2284" xr:uid="{00000000-0005-0000-0000-000055010000}"/>
    <cellStyle name="Normal 9 2 2 6" xfId="2551" xr:uid="{4733BE2F-89F8-48E6-9BD3-B6A86D348A26}"/>
    <cellStyle name="Normal 9 2 3" xfId="514" xr:uid="{00000000-0005-0000-0000-0000B0020000}"/>
    <cellStyle name="Normal 9 2 3 2" xfId="1327" xr:uid="{00000000-0005-0000-0000-000057010000}"/>
    <cellStyle name="Normal 9 2 3 3" xfId="1966" xr:uid="{00000000-0005-0000-0000-0000FC010000}"/>
    <cellStyle name="Normal 9 2 3 4" xfId="2363" xr:uid="{00000000-0005-0000-0000-000057010000}"/>
    <cellStyle name="Normal 9 2 3 5" xfId="2627" xr:uid="{B0AA8827-10A1-4B0B-99F1-CBF9CF2E637B}"/>
    <cellStyle name="Normal 9 2 4" xfId="798" xr:uid="{00000000-0005-0000-0000-0000B1020000}"/>
    <cellStyle name="Normal 9 2 5" xfId="904" xr:uid="{00000000-0005-0000-0000-000006010000}"/>
    <cellStyle name="Normal 9 2 6" xfId="1054" xr:uid="{00000000-0005-0000-0000-00008D000000}"/>
    <cellStyle name="Normal 9 2 7" xfId="1199" xr:uid="{00000000-0005-0000-0000-000006010000}"/>
    <cellStyle name="Normal 9 2 8" xfId="1465" xr:uid="{00000000-0005-0000-0000-000006010000}"/>
    <cellStyle name="Normal 9 2 9" xfId="1738" xr:uid="{00000000-0005-0000-0000-000017010000}"/>
    <cellStyle name="Normal 9 3" xfId="390" xr:uid="{00000000-0005-0000-0000-0000B2020000}"/>
    <cellStyle name="Normal 9 3 2" xfId="617" xr:uid="{00000000-0005-0000-0000-0000B3020000}"/>
    <cellStyle name="Normal 9 3 2 2" xfId="2069" xr:uid="{00000000-0005-0000-0000-000063020000}"/>
    <cellStyle name="Normal 9 3 3" xfId="1286" xr:uid="{00000000-0005-0000-0000-000058010000}"/>
    <cellStyle name="Normal 9 3 4" xfId="1842" xr:uid="{00000000-0005-0000-0000-000080010000}"/>
    <cellStyle name="Normal 9 3 5" xfId="2320" xr:uid="{00000000-0005-0000-0000-000058010000}"/>
    <cellStyle name="Normal 9 3 6" xfId="2586" xr:uid="{B9D10A0F-B60B-4AC3-AA58-CC28D7AFA8A3}"/>
    <cellStyle name="Normal 9 4" xfId="471" xr:uid="{00000000-0005-0000-0000-0000B4020000}"/>
    <cellStyle name="Normal 9 4 2" xfId="1923" xr:uid="{00000000-0005-0000-0000-0000D1010000}"/>
    <cellStyle name="Normal 9 5" xfId="692" xr:uid="{00000000-0005-0000-0000-0000B5020000}"/>
    <cellStyle name="Normal 9 5 2" xfId="2144" xr:uid="{00000000-0005-0000-0000-0000AE020000}"/>
    <cellStyle name="Normal 9 6" xfId="797" xr:uid="{00000000-0005-0000-0000-0000B6020000}"/>
    <cellStyle name="Normal 9 7" xfId="861" xr:uid="{00000000-0005-0000-0000-000005010000}"/>
    <cellStyle name="Normal 9 8" xfId="1019" xr:uid="{00000000-0005-0000-0000-0000B5000000}"/>
    <cellStyle name="Normal 9 9" xfId="1154" xr:uid="{00000000-0005-0000-0000-000005010000}"/>
    <cellStyle name="Normal_Gráfico MEER" xfId="7" xr:uid="{00000000-0005-0000-0000-0000B7020000}"/>
    <cellStyle name="Normal_TTIK_2012" xfId="8" xr:uid="{00000000-0005-0000-0000-0000B8020000}"/>
    <cellStyle name="Notas 2" xfId="144" xr:uid="{00000000-0005-0000-0000-0000B9020000}"/>
    <cellStyle name="Notas 2 2" xfId="231" xr:uid="{00000000-0005-0000-0000-0000BA020000}"/>
    <cellStyle name="Notas 2 2 2" xfId="1024" xr:uid="{00000000-0005-0000-0000-0000C8000000}"/>
    <cellStyle name="Notas 2 2 3" xfId="1684" xr:uid="{00000000-0005-0000-0000-0000E1000000}"/>
    <cellStyle name="Notas 2 3" xfId="230" xr:uid="{00000000-0005-0000-0000-0000BB020000}"/>
    <cellStyle name="Notas 2 3 2" xfId="1683" xr:uid="{00000000-0005-0000-0000-0000E0000000}"/>
    <cellStyle name="Notas 2 4" xfId="1599" xr:uid="{00000000-0005-0000-0000-00008C000000}"/>
    <cellStyle name="Notas 3" xfId="145" xr:uid="{00000000-0005-0000-0000-0000BC020000}"/>
    <cellStyle name="Notas 3 2" xfId="1025" xr:uid="{00000000-0005-0000-0000-0000C9000000}"/>
    <cellStyle name="Notas 3 3" xfId="1600" xr:uid="{00000000-0005-0000-0000-00008D000000}"/>
    <cellStyle name="Notas 4" xfId="143" xr:uid="{00000000-0005-0000-0000-0000BD020000}"/>
    <cellStyle name="Notas 4 10" xfId="1598" xr:uid="{00000000-0005-0000-0000-00008B000000}"/>
    <cellStyle name="Notas 4 11" xfId="2189" xr:uid="{00000000-0005-0000-0000-00005D010000}"/>
    <cellStyle name="Notas 4 12" xfId="2439" xr:uid="{EDF4C952-5BCE-4892-8841-AF9B6A3E6AA2}"/>
    <cellStyle name="Notas 4 2" xfId="382" xr:uid="{00000000-0005-0000-0000-0000BE020000}"/>
    <cellStyle name="Notas 4 2 2" xfId="609" xr:uid="{00000000-0005-0000-0000-0000BF020000}"/>
    <cellStyle name="Notas 4 2 2 2" xfId="2061" xr:uid="{00000000-0005-0000-0000-00005B020000}"/>
    <cellStyle name="Notas 4 2 3" xfId="1277" xr:uid="{00000000-0005-0000-0000-00005E010000}"/>
    <cellStyle name="Notas 4 2 4" xfId="1834" xr:uid="{00000000-0005-0000-0000-000078010000}"/>
    <cellStyle name="Notas 4 2 5" xfId="2311" xr:uid="{00000000-0005-0000-0000-00005E010000}"/>
    <cellStyle name="Notas 4 2 6" xfId="2577" xr:uid="{00013481-8492-4F56-8E0B-94DFA010B1EE}"/>
    <cellStyle name="Notas 4 3" xfId="454" xr:uid="{00000000-0005-0000-0000-0000C0020000}"/>
    <cellStyle name="Notas 4 3 2" xfId="1906" xr:uid="{00000000-0005-0000-0000-0000C0010000}"/>
    <cellStyle name="Notas 4 4" xfId="676" xr:uid="{00000000-0005-0000-0000-0000C1020000}"/>
    <cellStyle name="Notas 4 4 2" xfId="2128" xr:uid="{00000000-0005-0000-0000-00009E020000}"/>
    <cellStyle name="Notas 4 5" xfId="799" xr:uid="{00000000-0005-0000-0000-0000C2020000}"/>
    <cellStyle name="Notas 4 6" xfId="845" xr:uid="{00000000-0005-0000-0000-00000E010000}"/>
    <cellStyle name="Notas 4 7" xfId="1002" xr:uid="{00000000-0005-0000-0000-0000BB000000}"/>
    <cellStyle name="Notas 4 8" xfId="1133" xr:uid="{00000000-0005-0000-0000-00000E010000}"/>
    <cellStyle name="Notas 4 9" xfId="1414" xr:uid="{00000000-0005-0000-0000-00000E010000}"/>
    <cellStyle name="Notas 5" xfId="277" xr:uid="{00000000-0005-0000-0000-0000C3020000}"/>
    <cellStyle name="Notas 5 10" xfId="2232" xr:uid="{00000000-0005-0000-0000-00005F010000}"/>
    <cellStyle name="Notas 5 11" xfId="2487" xr:uid="{67CF6ADC-21F2-40D0-9C3C-8771BA5E570F}"/>
    <cellStyle name="Notas 5 2" xfId="506" xr:uid="{00000000-0005-0000-0000-0000C4020000}"/>
    <cellStyle name="Notas 5 2 2" xfId="1321" xr:uid="{00000000-0005-0000-0000-000060010000}"/>
    <cellStyle name="Notas 5 2 3" xfId="1958" xr:uid="{00000000-0005-0000-0000-0000F4010000}"/>
    <cellStyle name="Notas 5 2 4" xfId="2355" xr:uid="{00000000-0005-0000-0000-000060010000}"/>
    <cellStyle name="Notas 5 2 5" xfId="2621" xr:uid="{285738E1-D3D5-4174-9B00-7AE921B5CFA3}"/>
    <cellStyle name="Notas 5 3" xfId="800" xr:uid="{00000000-0005-0000-0000-0000C5020000}"/>
    <cellStyle name="Notas 5 4" xfId="896" xr:uid="{00000000-0005-0000-0000-00000F010000}"/>
    <cellStyle name="Notas 5 5" xfId="1003" xr:uid="{00000000-0005-0000-0000-0000BC000000}"/>
    <cellStyle name="Notas 5 6" xfId="1191" xr:uid="{00000000-0005-0000-0000-00000F010000}"/>
    <cellStyle name="Notas 5 7" xfId="1389" xr:uid="{00000000-0005-0000-0000-0000CB000000}"/>
    <cellStyle name="Notas 5 8" xfId="1457" xr:uid="{00000000-0005-0000-0000-00000F010000}"/>
    <cellStyle name="Notas 5 9" xfId="1730" xr:uid="{00000000-0005-0000-0000-00000F010000}"/>
    <cellStyle name="Notas 6" xfId="301" xr:uid="{00000000-0005-0000-0000-0000C6020000}"/>
    <cellStyle name="Notas 6 2" xfId="530" xr:uid="{00000000-0005-0000-0000-0000C7020000}"/>
    <cellStyle name="Notas 6 2 2" xfId="1343" xr:uid="{00000000-0005-0000-0000-000062010000}"/>
    <cellStyle name="Notas 6 2 3" xfId="1982" xr:uid="{00000000-0005-0000-0000-00000C020000}"/>
    <cellStyle name="Notas 6 2 4" xfId="2379" xr:uid="{00000000-0005-0000-0000-000062010000}"/>
    <cellStyle name="Notas 6 2 5" xfId="2643" xr:uid="{E47D2B6A-56C1-4FC9-B6DA-A1A9DF510A34}"/>
    <cellStyle name="Notas 6 3" xfId="920" xr:uid="{00000000-0005-0000-0000-000010010000}"/>
    <cellStyle name="Notas 6 4" xfId="1215" xr:uid="{00000000-0005-0000-0000-000010010000}"/>
    <cellStyle name="Notas 6 5" xfId="1481" xr:uid="{00000000-0005-0000-0000-000010010000}"/>
    <cellStyle name="Notas 6 6" xfId="1754" xr:uid="{00000000-0005-0000-0000-000027010000}"/>
    <cellStyle name="Notas 6 7" xfId="2256" xr:uid="{00000000-0005-0000-0000-000061010000}"/>
    <cellStyle name="Notas 6 8" xfId="2511" xr:uid="{8ACC77DA-841E-4060-8CB3-9144325C7BF6}"/>
    <cellStyle name="Notas 7" xfId="314" xr:uid="{00000000-0005-0000-0000-0000C8020000}"/>
    <cellStyle name="Notas 7 2" xfId="542" xr:uid="{00000000-0005-0000-0000-0000C9020000}"/>
    <cellStyle name="Notas 7 2 2" xfId="1355" xr:uid="{00000000-0005-0000-0000-000064010000}"/>
    <cellStyle name="Notas 7 2 3" xfId="1994" xr:uid="{00000000-0005-0000-0000-000018020000}"/>
    <cellStyle name="Notas 7 2 4" xfId="2391" xr:uid="{00000000-0005-0000-0000-000064010000}"/>
    <cellStyle name="Notas 7 2 5" xfId="2650" xr:uid="{43F93682-EBB0-4E32-895A-FA159237276E}"/>
    <cellStyle name="Notas 7 3" xfId="1235" xr:uid="{00000000-0005-0000-0000-000063010000}"/>
    <cellStyle name="Notas 7 4" xfId="1766" xr:uid="{00000000-0005-0000-0000-000034010000}"/>
    <cellStyle name="Notas 7 5" xfId="2268" xr:uid="{00000000-0005-0000-0000-000063010000}"/>
    <cellStyle name="Notas 7 6" xfId="2537" xr:uid="{539CE882-D655-43D8-8689-150B3678A8EA}"/>
    <cellStyle name="Notas 8" xfId="332" xr:uid="{00000000-0005-0000-0000-0000CA020000}"/>
    <cellStyle name="Notas 8 2" xfId="559" xr:uid="{00000000-0005-0000-0000-0000CB020000}"/>
    <cellStyle name="Notas 8 2 2" xfId="2011" xr:uid="{00000000-0005-0000-0000-000029020000}"/>
    <cellStyle name="Notas 8 3" xfId="1784" xr:uid="{00000000-0005-0000-0000-000046010000}"/>
    <cellStyle name="Notas 9" xfId="715" xr:uid="{00000000-0005-0000-0000-0000CC020000}"/>
    <cellStyle name="Note" xfId="232" xr:uid="{00000000-0005-0000-0000-0000CD020000}"/>
    <cellStyle name="Note 2" xfId="1026" xr:uid="{00000000-0005-0000-0000-0000CC000000}"/>
    <cellStyle name="Note 3" xfId="1685" xr:uid="{00000000-0005-0000-0000-0000E2000000}"/>
    <cellStyle name="Output" xfId="233" xr:uid="{00000000-0005-0000-0000-0000CE020000}"/>
    <cellStyle name="Output 2" xfId="1027" xr:uid="{00000000-0005-0000-0000-0000CD000000}"/>
    <cellStyle name="Output 3" xfId="1149" xr:uid="{00000000-0005-0000-0000-000066010000}"/>
    <cellStyle name="Output 4" xfId="1686" xr:uid="{00000000-0005-0000-0000-0000E3000000}"/>
    <cellStyle name="Porcentaje" xfId="6" builtinId="5"/>
    <cellStyle name="Porcentaje 10" xfId="302" xr:uid="{00000000-0005-0000-0000-0000D0020000}"/>
    <cellStyle name="Porcentaje 10 2" xfId="531" xr:uid="{00000000-0005-0000-0000-0000D1020000}"/>
    <cellStyle name="Porcentaje 10 2 2" xfId="1344" xr:uid="{00000000-0005-0000-0000-000069010000}"/>
    <cellStyle name="Porcentaje 10 2 3" xfId="1983" xr:uid="{00000000-0005-0000-0000-00000D020000}"/>
    <cellStyle name="Porcentaje 10 2 4" xfId="2380" xr:uid="{00000000-0005-0000-0000-000069010000}"/>
    <cellStyle name="Porcentaje 10 2 5" xfId="2644" xr:uid="{491D8C7C-0E93-4FC2-8010-C593E58747F1}"/>
    <cellStyle name="Porcentaje 10 3" xfId="921" xr:uid="{00000000-0005-0000-0000-000014010000}"/>
    <cellStyle name="Porcentaje 10 4" xfId="1216" xr:uid="{00000000-0005-0000-0000-000014010000}"/>
    <cellStyle name="Porcentaje 10 5" xfId="1482" xr:uid="{00000000-0005-0000-0000-000014010000}"/>
    <cellStyle name="Porcentaje 10 6" xfId="1755" xr:uid="{00000000-0005-0000-0000-000028010000}"/>
    <cellStyle name="Porcentaje 10 7" xfId="2257" xr:uid="{00000000-0005-0000-0000-000068010000}"/>
    <cellStyle name="Porcentaje 10 8" xfId="2512" xr:uid="{DD642207-142B-4426-B0C5-83777726983C}"/>
    <cellStyle name="Porcentaje 11" xfId="309" xr:uid="{00000000-0005-0000-0000-0000D2020000}"/>
    <cellStyle name="Porcentaje 11 2" xfId="352" xr:uid="{00000000-0005-0000-0000-0000D3020000}"/>
    <cellStyle name="Porcentaje 11 2 2" xfId="579" xr:uid="{00000000-0005-0000-0000-0000D4020000}"/>
    <cellStyle name="Porcentaje 11 2 2 2" xfId="2031" xr:uid="{00000000-0005-0000-0000-00003D020000}"/>
    <cellStyle name="Porcentaje 11 2 3" xfId="1351" xr:uid="{00000000-0005-0000-0000-00006B010000}"/>
    <cellStyle name="Porcentaje 11 2 4" xfId="1804" xr:uid="{00000000-0005-0000-0000-00005A010000}"/>
    <cellStyle name="Porcentaje 11 2 5" xfId="2387" xr:uid="{00000000-0005-0000-0000-00006B010000}"/>
    <cellStyle name="Porcentaje 11 2 6" xfId="2646" xr:uid="{445C878E-AD0E-4179-B143-C84734023BB7}"/>
    <cellStyle name="Porcentaje 11 3" xfId="538" xr:uid="{00000000-0005-0000-0000-0000D5020000}"/>
    <cellStyle name="Porcentaje 11 3 2" xfId="1990" xr:uid="{00000000-0005-0000-0000-000014020000}"/>
    <cellStyle name="Porcentaje 11 4" xfId="1234" xr:uid="{00000000-0005-0000-0000-00006A010000}"/>
    <cellStyle name="Porcentaje 11 5" xfId="1762" xr:uid="{00000000-0005-0000-0000-00002F010000}"/>
    <cellStyle name="Porcentaje 11 6" xfId="2264" xr:uid="{00000000-0005-0000-0000-00006A010000}"/>
    <cellStyle name="Porcentaje 11 7" xfId="2536" xr:uid="{82422F57-889D-4AA1-B9EA-3F19DE1DB685}"/>
    <cellStyle name="Porcentaje 12" xfId="714" xr:uid="{00000000-0005-0000-0000-0000D6020000}"/>
    <cellStyle name="Porcentaje 12 2" xfId="1265" xr:uid="{00000000-0005-0000-0000-00006C010000}"/>
    <cellStyle name="Porcentaje 2" xfId="3" xr:uid="{00000000-0005-0000-0000-0000D7020000}"/>
    <cellStyle name="Porcentaje 2 2" xfId="147" xr:uid="{00000000-0005-0000-0000-0000D8020000}"/>
    <cellStyle name="Porcentaje 2 2 2" xfId="1602" xr:uid="{00000000-0005-0000-0000-00008F000000}"/>
    <cellStyle name="Porcentaje 2 3" xfId="238" xr:uid="{00000000-0005-0000-0000-0000D9020000}"/>
    <cellStyle name="Porcentaje 2 3 10" xfId="2196" xr:uid="{00000000-0005-0000-0000-00006F010000}"/>
    <cellStyle name="Porcentaje 2 3 11" xfId="2449" xr:uid="{8ECF89B2-F5E4-4BCA-9E59-5016E78DDC1E}"/>
    <cellStyle name="Porcentaje 2 3 2" xfId="389" xr:uid="{00000000-0005-0000-0000-0000DA020000}"/>
    <cellStyle name="Porcentaje 2 3 2 2" xfId="616" xr:uid="{00000000-0005-0000-0000-0000DB020000}"/>
    <cellStyle name="Porcentaje 2 3 2 2 2" xfId="2068" xr:uid="{00000000-0005-0000-0000-000062020000}"/>
    <cellStyle name="Porcentaje 2 3 2 3" xfId="1285" xr:uid="{00000000-0005-0000-0000-000070010000}"/>
    <cellStyle name="Porcentaje 2 3 2 4" xfId="1841" xr:uid="{00000000-0005-0000-0000-00007F010000}"/>
    <cellStyle name="Porcentaje 2 3 2 5" xfId="2319" xr:uid="{00000000-0005-0000-0000-000070010000}"/>
    <cellStyle name="Porcentaje 2 3 2 6" xfId="2585" xr:uid="{CF6B917C-31B2-41B8-AF70-AE63BCC13FDF}"/>
    <cellStyle name="Porcentaje 2 3 3" xfId="470" xr:uid="{00000000-0005-0000-0000-0000DC020000}"/>
    <cellStyle name="Porcentaje 2 3 3 2" xfId="1922" xr:uid="{00000000-0005-0000-0000-0000D0010000}"/>
    <cellStyle name="Porcentaje 2 3 4" xfId="691" xr:uid="{00000000-0005-0000-0000-0000DD020000}"/>
    <cellStyle name="Porcentaje 2 3 4 2" xfId="2143" xr:uid="{00000000-0005-0000-0000-0000AD020000}"/>
    <cellStyle name="Porcentaje 2 3 5" xfId="801" xr:uid="{00000000-0005-0000-0000-0000DE020000}"/>
    <cellStyle name="Porcentaje 2 3 6" xfId="860" xr:uid="{00000000-0005-0000-0000-000017010000}"/>
    <cellStyle name="Porcentaje 2 3 7" xfId="1153" xr:uid="{00000000-0005-0000-0000-000017010000}"/>
    <cellStyle name="Porcentaje 2 3 8" xfId="1421" xr:uid="{00000000-0005-0000-0000-000017010000}"/>
    <cellStyle name="Porcentaje 2 3 9" xfId="1691" xr:uid="{00000000-0005-0000-0000-0000E8000000}"/>
    <cellStyle name="Porcentaje 2 4" xfId="250" xr:uid="{00000000-0005-0000-0000-0000DF020000}"/>
    <cellStyle name="Porcentaje 2 4 2" xfId="1703" xr:uid="{00000000-0005-0000-0000-0000F4000000}"/>
    <cellStyle name="Porcentaje 2 5" xfId="957" xr:uid="{00000000-0005-0000-0000-0000C0000000}"/>
    <cellStyle name="Porcentaje 2 6" xfId="1501" xr:uid="{00000000-0005-0000-0000-000002000000}"/>
    <cellStyle name="Porcentaje 3" xfId="15" xr:uid="{00000000-0005-0000-0000-0000E0020000}"/>
    <cellStyle name="Porcentaje 3 10" xfId="1101" xr:uid="{00000000-0005-0000-0000-000019010000}"/>
    <cellStyle name="Porcentaje 3 11" xfId="1392" xr:uid="{00000000-0005-0000-0000-000019010000}"/>
    <cellStyle name="Porcentaje 3 12" xfId="1509" xr:uid="{00000000-0005-0000-0000-00000B000000}"/>
    <cellStyle name="Porcentaje 3 13" xfId="2167" xr:uid="{00000000-0005-0000-0000-000072010000}"/>
    <cellStyle name="Porcentaje 3 14" xfId="2416" xr:uid="{32F5DFDC-1794-4ABA-AC65-C0EC160B1DCA}"/>
    <cellStyle name="Porcentaje 3 2" xfId="148" xr:uid="{00000000-0005-0000-0000-0000E1020000}"/>
    <cellStyle name="Porcentaje 3 2 2" xfId="1603" xr:uid="{00000000-0005-0000-0000-000090000000}"/>
    <cellStyle name="Porcentaje 3 3" xfId="234" xr:uid="{00000000-0005-0000-0000-0000E2020000}"/>
    <cellStyle name="Porcentaje 3 3 2" xfId="1687" xr:uid="{00000000-0005-0000-0000-0000E4000000}"/>
    <cellStyle name="Porcentaje 3 4" xfId="282" xr:uid="{00000000-0005-0000-0000-0000E3020000}"/>
    <cellStyle name="Porcentaje 3 4 2" xfId="511" xr:uid="{00000000-0005-0000-0000-0000E4020000}"/>
    <cellStyle name="Porcentaje 3 4 2 2" xfId="1326" xr:uid="{00000000-0005-0000-0000-000076010000}"/>
    <cellStyle name="Porcentaje 3 4 2 3" xfId="1963" xr:uid="{00000000-0005-0000-0000-0000F9010000}"/>
    <cellStyle name="Porcentaje 3 4 2 4" xfId="2360" xr:uid="{00000000-0005-0000-0000-000076010000}"/>
    <cellStyle name="Porcentaje 3 4 2 5" xfId="2626" xr:uid="{B1C64C4F-44D0-488A-BA79-8E8D61DE08DE}"/>
    <cellStyle name="Porcentaje 3 4 3" xfId="803" xr:uid="{00000000-0005-0000-0000-0000E5020000}"/>
    <cellStyle name="Porcentaje 3 4 4" xfId="901" xr:uid="{00000000-0005-0000-0000-00001C010000}"/>
    <cellStyle name="Porcentaje 3 4 5" xfId="1196" xr:uid="{00000000-0005-0000-0000-00001C010000}"/>
    <cellStyle name="Porcentaje 3 4 6" xfId="1462" xr:uid="{00000000-0005-0000-0000-00001C010000}"/>
    <cellStyle name="Porcentaje 3 4 7" xfId="1735" xr:uid="{00000000-0005-0000-0000-000014010000}"/>
    <cellStyle name="Porcentaje 3 4 8" xfId="2237" xr:uid="{00000000-0005-0000-0000-000075010000}"/>
    <cellStyle name="Porcentaje 3 4 9" xfId="2492" xr:uid="{8531DCC8-A6D7-44FD-A65F-B7F8E8E6EF00}"/>
    <cellStyle name="Porcentaje 3 5" xfId="360" xr:uid="{00000000-0005-0000-0000-0000E6020000}"/>
    <cellStyle name="Porcentaje 3 5 2" xfId="587" xr:uid="{00000000-0005-0000-0000-0000E7020000}"/>
    <cellStyle name="Porcentaje 3 5 2 2" xfId="2039" xr:uid="{00000000-0005-0000-0000-000045020000}"/>
    <cellStyle name="Porcentaje 3 5 3" xfId="1267" xr:uid="{00000000-0005-0000-0000-000077010000}"/>
    <cellStyle name="Porcentaje 3 5 4" xfId="1812" xr:uid="{00000000-0005-0000-0000-000062010000}"/>
    <cellStyle name="Porcentaje 3 5 5" xfId="2301" xr:uid="{00000000-0005-0000-0000-000077010000}"/>
    <cellStyle name="Porcentaje 3 5 6" xfId="2567" xr:uid="{7E7BF971-658F-4BB2-82D7-0364A93C6CA5}"/>
    <cellStyle name="Porcentaje 3 6" xfId="424" xr:uid="{00000000-0005-0000-0000-0000E8020000}"/>
    <cellStyle name="Porcentaje 3 6 2" xfId="1876" xr:uid="{00000000-0005-0000-0000-0000A2010000}"/>
    <cellStyle name="Porcentaje 3 7" xfId="646" xr:uid="{00000000-0005-0000-0000-0000E9020000}"/>
    <cellStyle name="Porcentaje 3 7 2" xfId="2098" xr:uid="{00000000-0005-0000-0000-000080020000}"/>
    <cellStyle name="Porcentaje 3 8" xfId="802" xr:uid="{00000000-0005-0000-0000-0000EA020000}"/>
    <cellStyle name="Porcentaje 3 9" xfId="815" xr:uid="{00000000-0005-0000-0000-000019010000}"/>
    <cellStyle name="Porcentaje 4" xfId="149" xr:uid="{00000000-0005-0000-0000-0000EB020000}"/>
    <cellStyle name="Porcentaje 4 2" xfId="1604" xr:uid="{00000000-0005-0000-0000-000091000000}"/>
    <cellStyle name="Porcentaje 5" xfId="146" xr:uid="{00000000-0005-0000-0000-0000EC020000}"/>
    <cellStyle name="Porcentaje 5 10" xfId="2190" xr:uid="{00000000-0005-0000-0000-000079010000}"/>
    <cellStyle name="Porcentaje 5 11" xfId="2441" xr:uid="{BFB4D196-411A-4986-A2B9-7FA119238925}"/>
    <cellStyle name="Porcentaje 5 2" xfId="383" xr:uid="{00000000-0005-0000-0000-0000ED020000}"/>
    <cellStyle name="Porcentaje 5 2 2" xfId="610" xr:uid="{00000000-0005-0000-0000-0000EE020000}"/>
    <cellStyle name="Porcentaje 5 2 2 2" xfId="2062" xr:uid="{00000000-0005-0000-0000-00005C020000}"/>
    <cellStyle name="Porcentaje 5 2 3" xfId="1278" xr:uid="{00000000-0005-0000-0000-00007A010000}"/>
    <cellStyle name="Porcentaje 5 2 4" xfId="1835" xr:uid="{00000000-0005-0000-0000-000079010000}"/>
    <cellStyle name="Porcentaje 5 2 5" xfId="2312" xr:uid="{00000000-0005-0000-0000-00007A010000}"/>
    <cellStyle name="Porcentaje 5 2 6" xfId="2578" xr:uid="{9D1409E3-69D3-4EFD-A010-FD93D3CD830D}"/>
    <cellStyle name="Porcentaje 5 3" xfId="455" xr:uid="{00000000-0005-0000-0000-0000EF020000}"/>
    <cellStyle name="Porcentaje 5 3 2" xfId="1907" xr:uid="{00000000-0005-0000-0000-0000C1010000}"/>
    <cellStyle name="Porcentaje 5 4" xfId="677" xr:uid="{00000000-0005-0000-0000-0000F0020000}"/>
    <cellStyle name="Porcentaje 5 4 2" xfId="2129" xr:uid="{00000000-0005-0000-0000-00009F020000}"/>
    <cellStyle name="Porcentaje 5 5" xfId="804" xr:uid="{00000000-0005-0000-0000-0000F1020000}"/>
    <cellStyle name="Porcentaje 5 6" xfId="846" xr:uid="{00000000-0005-0000-0000-00001E010000}"/>
    <cellStyle name="Porcentaje 5 7" xfId="1135" xr:uid="{00000000-0005-0000-0000-00001E010000}"/>
    <cellStyle name="Porcentaje 5 8" xfId="1415" xr:uid="{00000000-0005-0000-0000-00001E010000}"/>
    <cellStyle name="Porcentaje 5 9" xfId="1601" xr:uid="{00000000-0005-0000-0000-00008E000000}"/>
    <cellStyle name="Porcentaje 6" xfId="170" xr:uid="{00000000-0005-0000-0000-0000F2020000}"/>
    <cellStyle name="Porcentaje 6 10" xfId="2192" xr:uid="{00000000-0005-0000-0000-00007B010000}"/>
    <cellStyle name="Porcentaje 6 11" xfId="2443" xr:uid="{B68641D0-A466-4AF2-B907-1DDDE8AB5C75}"/>
    <cellStyle name="Porcentaje 6 2" xfId="385" xr:uid="{00000000-0005-0000-0000-0000F3020000}"/>
    <cellStyle name="Porcentaje 6 2 2" xfId="612" xr:uid="{00000000-0005-0000-0000-0000F4020000}"/>
    <cellStyle name="Porcentaje 6 2 2 2" xfId="2064" xr:uid="{00000000-0005-0000-0000-00005E020000}"/>
    <cellStyle name="Porcentaje 6 2 3" xfId="1281" xr:uid="{00000000-0005-0000-0000-00007C010000}"/>
    <cellStyle name="Porcentaje 6 2 4" xfId="1837" xr:uid="{00000000-0005-0000-0000-00007B010000}"/>
    <cellStyle name="Porcentaje 6 2 5" xfId="2315" xr:uid="{00000000-0005-0000-0000-00007C010000}"/>
    <cellStyle name="Porcentaje 6 2 6" xfId="2581" xr:uid="{56B7B981-A054-4CFB-AC16-5692D2B8BEE3}"/>
    <cellStyle name="Porcentaje 6 3" xfId="457" xr:uid="{00000000-0005-0000-0000-0000F5020000}"/>
    <cellStyle name="Porcentaje 6 3 2" xfId="1909" xr:uid="{00000000-0005-0000-0000-0000C3010000}"/>
    <cellStyle name="Porcentaje 6 4" xfId="679" xr:uid="{00000000-0005-0000-0000-0000F6020000}"/>
    <cellStyle name="Porcentaje 6 4 2" xfId="2131" xr:uid="{00000000-0005-0000-0000-0000A1020000}"/>
    <cellStyle name="Porcentaje 6 5" xfId="805" xr:uid="{00000000-0005-0000-0000-0000F7020000}"/>
    <cellStyle name="Porcentaje 6 6" xfId="848" xr:uid="{00000000-0005-0000-0000-00001F010000}"/>
    <cellStyle name="Porcentaje 6 7" xfId="1137" xr:uid="{00000000-0005-0000-0000-00001F010000}"/>
    <cellStyle name="Porcentaje 6 8" xfId="1417" xr:uid="{00000000-0005-0000-0000-00001F010000}"/>
    <cellStyle name="Porcentaje 6 9" xfId="1622" xr:uid="{00000000-0005-0000-0000-0000A3000000}"/>
    <cellStyle name="Porcentaje 7" xfId="243" xr:uid="{00000000-0005-0000-0000-0000F8020000}"/>
    <cellStyle name="Porcentaje 7 10" xfId="2201" xr:uid="{00000000-0005-0000-0000-00007D010000}"/>
    <cellStyle name="Porcentaje 7 11" xfId="2454" xr:uid="{E9DFF8F8-4A06-45CB-8CF9-D6501AAA0744}"/>
    <cellStyle name="Porcentaje 7 2" xfId="394" xr:uid="{00000000-0005-0000-0000-0000F9020000}"/>
    <cellStyle name="Porcentaje 7 2 2" xfId="621" xr:uid="{00000000-0005-0000-0000-0000FA020000}"/>
    <cellStyle name="Porcentaje 7 2 2 2" xfId="2073" xr:uid="{00000000-0005-0000-0000-000067020000}"/>
    <cellStyle name="Porcentaje 7 2 3" xfId="1290" xr:uid="{00000000-0005-0000-0000-00007E010000}"/>
    <cellStyle name="Porcentaje 7 2 4" xfId="1846" xr:uid="{00000000-0005-0000-0000-000084010000}"/>
    <cellStyle name="Porcentaje 7 2 5" xfId="2324" xr:uid="{00000000-0005-0000-0000-00007E010000}"/>
    <cellStyle name="Porcentaje 7 2 6" xfId="2590" xr:uid="{2440F113-53FF-4A46-ADB5-B8B59CE4CAEC}"/>
    <cellStyle name="Porcentaje 7 3" xfId="475" xr:uid="{00000000-0005-0000-0000-0000FB020000}"/>
    <cellStyle name="Porcentaje 7 3 2" xfId="1927" xr:uid="{00000000-0005-0000-0000-0000D5010000}"/>
    <cellStyle name="Porcentaje 7 4" xfId="696" xr:uid="{00000000-0005-0000-0000-0000FC020000}"/>
    <cellStyle name="Porcentaje 7 4 2" xfId="2148" xr:uid="{00000000-0005-0000-0000-0000B2020000}"/>
    <cellStyle name="Porcentaje 7 5" xfId="806" xr:uid="{00000000-0005-0000-0000-0000FD020000}"/>
    <cellStyle name="Porcentaje 7 6" xfId="865" xr:uid="{00000000-0005-0000-0000-000020010000}"/>
    <cellStyle name="Porcentaje 7 7" xfId="1158" xr:uid="{00000000-0005-0000-0000-000020010000}"/>
    <cellStyle name="Porcentaje 7 8" xfId="1426" xr:uid="{00000000-0005-0000-0000-000020010000}"/>
    <cellStyle name="Porcentaje 7 9" xfId="1696" xr:uid="{00000000-0005-0000-0000-0000ED000000}"/>
    <cellStyle name="Porcentaje 8" xfId="247" xr:uid="{00000000-0005-0000-0000-0000FE020000}"/>
    <cellStyle name="Porcentaje 8 10" xfId="2205" xr:uid="{00000000-0005-0000-0000-00007F010000}"/>
    <cellStyle name="Porcentaje 8 11" xfId="2458" xr:uid="{15576BA6-F74F-4120-A3F0-00007952891F}"/>
    <cellStyle name="Porcentaje 8 2" xfId="398" xr:uid="{00000000-0005-0000-0000-0000FF020000}"/>
    <cellStyle name="Porcentaje 8 2 2" xfId="625" xr:uid="{00000000-0005-0000-0000-000000030000}"/>
    <cellStyle name="Porcentaje 8 2 2 2" xfId="2077" xr:uid="{00000000-0005-0000-0000-00006B020000}"/>
    <cellStyle name="Porcentaje 8 2 3" xfId="1294" xr:uid="{00000000-0005-0000-0000-000080010000}"/>
    <cellStyle name="Porcentaje 8 2 4" xfId="1850" xr:uid="{00000000-0005-0000-0000-000088010000}"/>
    <cellStyle name="Porcentaje 8 2 5" xfId="2328" xr:uid="{00000000-0005-0000-0000-000080010000}"/>
    <cellStyle name="Porcentaje 8 2 6" xfId="2594" xr:uid="{FC296A5D-ED30-4971-A682-5222002B9E09}"/>
    <cellStyle name="Porcentaje 8 3" xfId="479" xr:uid="{00000000-0005-0000-0000-000001030000}"/>
    <cellStyle name="Porcentaje 8 3 2" xfId="1931" xr:uid="{00000000-0005-0000-0000-0000D9010000}"/>
    <cellStyle name="Porcentaje 8 4" xfId="700" xr:uid="{00000000-0005-0000-0000-000002030000}"/>
    <cellStyle name="Porcentaje 8 4 2" xfId="2152" xr:uid="{00000000-0005-0000-0000-0000B6020000}"/>
    <cellStyle name="Porcentaje 8 5" xfId="807" xr:uid="{00000000-0005-0000-0000-000003030000}"/>
    <cellStyle name="Porcentaje 8 6" xfId="869" xr:uid="{00000000-0005-0000-0000-000021010000}"/>
    <cellStyle name="Porcentaje 8 7" xfId="1162" xr:uid="{00000000-0005-0000-0000-000021010000}"/>
    <cellStyle name="Porcentaje 8 8" xfId="1430" xr:uid="{00000000-0005-0000-0000-000021010000}"/>
    <cellStyle name="Porcentaje 8 9" xfId="1700" xr:uid="{00000000-0005-0000-0000-0000F1000000}"/>
    <cellStyle name="Porcentaje 9" xfId="263" xr:uid="{00000000-0005-0000-0000-000004030000}"/>
    <cellStyle name="Porcentaje 9 10" xfId="2218" xr:uid="{00000000-0005-0000-0000-000081010000}"/>
    <cellStyle name="Porcentaje 9 11" xfId="2473" xr:uid="{14DAF235-4A70-4A7B-8106-C1B37EF560AA}"/>
    <cellStyle name="Porcentaje 9 2" xfId="280" xr:uid="{00000000-0005-0000-0000-000005030000}"/>
    <cellStyle name="Porcentaje 9 2 10" xfId="2490" xr:uid="{8F264D2B-D7A6-4C77-8A6E-06DAAA01D983}"/>
    <cellStyle name="Porcentaje 9 2 2" xfId="305" xr:uid="{00000000-0005-0000-0000-000006030000}"/>
    <cellStyle name="Porcentaje 9 2 2 2" xfId="356" xr:uid="{00000000-0005-0000-0000-000007030000}"/>
    <cellStyle name="Porcentaje 9 2 2 2 2" xfId="583" xr:uid="{00000000-0005-0000-0000-000008030000}"/>
    <cellStyle name="Porcentaje 9 2 2 2 2 2" xfId="2035" xr:uid="{00000000-0005-0000-0000-000041020000}"/>
    <cellStyle name="Porcentaje 9 2 2 2 3" xfId="1347" xr:uid="{00000000-0005-0000-0000-000084010000}"/>
    <cellStyle name="Porcentaje 9 2 2 2 4" xfId="1808" xr:uid="{00000000-0005-0000-0000-00005E010000}"/>
    <cellStyle name="Porcentaje 9 2 2 2 5" xfId="2383" xr:uid="{00000000-0005-0000-0000-000084010000}"/>
    <cellStyle name="Porcentaje 9 2 2 2 6" xfId="2535" xr:uid="{72AA1C52-3BAC-4BA4-8589-0821068ED167}"/>
    <cellStyle name="Porcentaje 9 2 2 3" xfId="534" xr:uid="{00000000-0005-0000-0000-000009030000}"/>
    <cellStyle name="Porcentaje 9 2 2 3 2" xfId="1986" xr:uid="{00000000-0005-0000-0000-000010020000}"/>
    <cellStyle name="Porcentaje 9 2 2 4" xfId="924" xr:uid="{00000000-0005-0000-0000-000024010000}"/>
    <cellStyle name="Porcentaje 9 2 2 5" xfId="1219" xr:uid="{00000000-0005-0000-0000-000024010000}"/>
    <cellStyle name="Porcentaje 9 2 2 6" xfId="1485" xr:uid="{00000000-0005-0000-0000-000024010000}"/>
    <cellStyle name="Porcentaje 9 2 2 7" xfId="1758" xr:uid="{00000000-0005-0000-0000-00002B010000}"/>
    <cellStyle name="Porcentaje 9 2 2 8" xfId="2260" xr:uid="{00000000-0005-0000-0000-000083010000}"/>
    <cellStyle name="Porcentaje 9 2 2 9" xfId="2515" xr:uid="{9F7946F9-60C6-451F-BA23-E15284783F2A}"/>
    <cellStyle name="Porcentaje 9 2 3" xfId="509" xr:uid="{00000000-0005-0000-0000-00000A030000}"/>
    <cellStyle name="Porcentaje 9 2 3 2" xfId="1324" xr:uid="{00000000-0005-0000-0000-000085010000}"/>
    <cellStyle name="Porcentaje 9 2 3 3" xfId="1961" xr:uid="{00000000-0005-0000-0000-0000F7010000}"/>
    <cellStyle name="Porcentaje 9 2 3 4" xfId="2358" xr:uid="{00000000-0005-0000-0000-000085010000}"/>
    <cellStyle name="Porcentaje 9 2 3 5" xfId="2624" xr:uid="{C36C4445-8B3F-40F5-B4E4-68949385DCF0}"/>
    <cellStyle name="Porcentaje 9 2 4" xfId="809" xr:uid="{00000000-0005-0000-0000-00000B030000}"/>
    <cellStyle name="Porcentaje 9 2 5" xfId="899" xr:uid="{00000000-0005-0000-0000-000023010000}"/>
    <cellStyle name="Porcentaje 9 2 6" xfId="1194" xr:uid="{00000000-0005-0000-0000-000023010000}"/>
    <cellStyle name="Porcentaje 9 2 7" xfId="1460" xr:uid="{00000000-0005-0000-0000-000023010000}"/>
    <cellStyle name="Porcentaje 9 2 8" xfId="1733" xr:uid="{00000000-0005-0000-0000-000012010000}"/>
    <cellStyle name="Porcentaje 9 2 9" xfId="2235" xr:uid="{00000000-0005-0000-0000-000082010000}"/>
    <cellStyle name="Porcentaje 9 3" xfId="417" xr:uid="{00000000-0005-0000-0000-00000C030000}"/>
    <cellStyle name="Porcentaje 9 3 2" xfId="642" xr:uid="{00000000-0005-0000-0000-00000D030000}"/>
    <cellStyle name="Porcentaje 9 3 2 2" xfId="2094" xr:uid="{00000000-0005-0000-0000-00007C020000}"/>
    <cellStyle name="Porcentaje 9 3 3" xfId="1307" xr:uid="{00000000-0005-0000-0000-000086010000}"/>
    <cellStyle name="Porcentaje 9 3 4" xfId="1869" xr:uid="{00000000-0005-0000-0000-00009B010000}"/>
    <cellStyle name="Porcentaje 9 3 5" xfId="2341" xr:uid="{00000000-0005-0000-0000-000086010000}"/>
    <cellStyle name="Porcentaje 9 3 6" xfId="2607" xr:uid="{6CEDA2EB-9DF0-4C9F-A5FB-B50C2EFAB530}"/>
    <cellStyle name="Porcentaje 9 4" xfId="492" xr:uid="{00000000-0005-0000-0000-00000E030000}"/>
    <cellStyle name="Porcentaje 9 4 2" xfId="1944" xr:uid="{00000000-0005-0000-0000-0000E6010000}"/>
    <cellStyle name="Porcentaje 9 5" xfId="808" xr:uid="{00000000-0005-0000-0000-00000F030000}"/>
    <cellStyle name="Porcentaje 9 6" xfId="882" xr:uid="{00000000-0005-0000-0000-000022010000}"/>
    <cellStyle name="Porcentaje 9 7" xfId="1177" xr:uid="{00000000-0005-0000-0000-000022010000}"/>
    <cellStyle name="Porcentaje 9 8" xfId="1443" xr:uid="{00000000-0005-0000-0000-000022010000}"/>
    <cellStyle name="Porcentaje 9 9" xfId="1716" xr:uid="{00000000-0005-0000-0000-000001010000}"/>
    <cellStyle name="Porcentual 2" xfId="23" xr:uid="{00000000-0005-0000-0000-000010030000}"/>
    <cellStyle name="Porcentual 2 2" xfId="150" xr:uid="{00000000-0005-0000-0000-000011030000}"/>
    <cellStyle name="Porcentual 2 2 2" xfId="235" xr:uid="{00000000-0005-0000-0000-000012030000}"/>
    <cellStyle name="Porcentual 2 2 2 2" xfId="1688" xr:uid="{00000000-0005-0000-0000-0000E5000000}"/>
    <cellStyle name="Porcentual 2 2 3" xfId="1605" xr:uid="{00000000-0005-0000-0000-000092000000}"/>
    <cellStyle name="Porcentual 2 3" xfId="1517" xr:uid="{00000000-0005-0000-0000-000013000000}"/>
    <cellStyle name="Salida" xfId="35" builtinId="21" customBuiltin="1"/>
    <cellStyle name="Salida 2" xfId="151" xr:uid="{00000000-0005-0000-0000-000014030000}"/>
    <cellStyle name="Salida 2 2" xfId="1028" xr:uid="{00000000-0005-0000-0000-0000D3000000}"/>
    <cellStyle name="Salida 2 3" xfId="1606" xr:uid="{00000000-0005-0000-0000-000093000000}"/>
    <cellStyle name="Salida 3" xfId="152" xr:uid="{00000000-0005-0000-0000-000015030000}"/>
    <cellStyle name="Salida 3 2" xfId="1004" xr:uid="{00000000-0005-0000-0000-0000C5000000}"/>
    <cellStyle name="Salida 3 3" xfId="1607" xr:uid="{00000000-0005-0000-0000-000094000000}"/>
    <cellStyle name="Texto de advertencia" xfId="39" builtinId="11" customBuiltin="1"/>
    <cellStyle name="Texto de advertencia 2" xfId="153" xr:uid="{00000000-0005-0000-0000-000017030000}"/>
    <cellStyle name="Texto de advertencia 2 2" xfId="1608" xr:uid="{00000000-0005-0000-0000-000095000000}"/>
    <cellStyle name="Texto de advertencia 3" xfId="154" xr:uid="{00000000-0005-0000-0000-000018030000}"/>
    <cellStyle name="Texto de advertencia 3 2" xfId="1005" xr:uid="{00000000-0005-0000-0000-0000C8000000}"/>
    <cellStyle name="Texto de advertencia 3 3" xfId="1609" xr:uid="{00000000-0005-0000-0000-000096000000}"/>
    <cellStyle name="Texto explicativo" xfId="40" builtinId="53" customBuiltin="1"/>
    <cellStyle name="Texto explicativo 2" xfId="155" xr:uid="{00000000-0005-0000-0000-00001A030000}"/>
    <cellStyle name="Texto explicativo 2 2" xfId="1610" xr:uid="{00000000-0005-0000-0000-000097000000}"/>
    <cellStyle name="Texto explicativo 3" xfId="156" xr:uid="{00000000-0005-0000-0000-00001B030000}"/>
    <cellStyle name="Texto explicativo 3 2" xfId="1006" xr:uid="{00000000-0005-0000-0000-0000CB000000}"/>
    <cellStyle name="Texto explicativo 3 3" xfId="1611" xr:uid="{00000000-0005-0000-0000-000098000000}"/>
    <cellStyle name="Title" xfId="236" xr:uid="{00000000-0005-0000-0000-00001C030000}"/>
    <cellStyle name="Title 2" xfId="1094" xr:uid="{00000000-0005-0000-0000-000091010000}"/>
    <cellStyle name="Title 3" xfId="1689" xr:uid="{00000000-0005-0000-0000-0000E6000000}"/>
    <cellStyle name="Título" xfId="27" builtinId="15" customBuiltin="1"/>
    <cellStyle name="Título 1 2" xfId="157" xr:uid="{00000000-0005-0000-0000-00001E030000}"/>
    <cellStyle name="Título 1 2 2" xfId="1612" xr:uid="{00000000-0005-0000-0000-000099000000}"/>
    <cellStyle name="Título 1 3" xfId="158" xr:uid="{00000000-0005-0000-0000-00001F030000}"/>
    <cellStyle name="Título 1 3 2" xfId="1007" xr:uid="{00000000-0005-0000-0000-0000CF000000}"/>
    <cellStyle name="Título 1 3 3" xfId="1613" xr:uid="{00000000-0005-0000-0000-00009A000000}"/>
    <cellStyle name="Título 2" xfId="28" builtinId="17" customBuiltin="1"/>
    <cellStyle name="Título 2 2" xfId="159" xr:uid="{00000000-0005-0000-0000-000021030000}"/>
    <cellStyle name="Título 2 2 2" xfId="1614" xr:uid="{00000000-0005-0000-0000-00009B000000}"/>
    <cellStyle name="Título 2 3" xfId="160" xr:uid="{00000000-0005-0000-0000-000022030000}"/>
    <cellStyle name="Título 2 3 2" xfId="1008" xr:uid="{00000000-0005-0000-0000-0000D2000000}"/>
    <cellStyle name="Título 2 3 3" xfId="1615" xr:uid="{00000000-0005-0000-0000-00009C000000}"/>
    <cellStyle name="Título 3" xfId="29" builtinId="18" customBuiltin="1"/>
    <cellStyle name="Título 3 2" xfId="161" xr:uid="{00000000-0005-0000-0000-000024030000}"/>
    <cellStyle name="Título 3 2 2" xfId="1616" xr:uid="{00000000-0005-0000-0000-00009D000000}"/>
    <cellStyle name="Título 3 3" xfId="162" xr:uid="{00000000-0005-0000-0000-000025030000}"/>
    <cellStyle name="Título 3 3 2" xfId="1009" xr:uid="{00000000-0005-0000-0000-0000D5000000}"/>
    <cellStyle name="Título 3 3 3" xfId="1617" xr:uid="{00000000-0005-0000-0000-00009E000000}"/>
    <cellStyle name="Título 4" xfId="163" xr:uid="{00000000-0005-0000-0000-000026030000}"/>
    <cellStyle name="Título 4 2" xfId="327" xr:uid="{00000000-0005-0000-0000-000027030000}"/>
    <cellStyle name="Título 4 2 2" xfId="1779" xr:uid="{00000000-0005-0000-0000-000041010000}"/>
    <cellStyle name="Título 5" xfId="164" xr:uid="{00000000-0005-0000-0000-000028030000}"/>
    <cellStyle name="Título 5 2" xfId="961" xr:uid="{00000000-0005-0000-0000-0000DF000000}"/>
    <cellStyle name="Título 5 3" xfId="1618" xr:uid="{00000000-0005-0000-0000-00009F000000}"/>
    <cellStyle name="Total" xfId="41" builtinId="25" customBuiltin="1"/>
    <cellStyle name="Total 2" xfId="165" xr:uid="{00000000-0005-0000-0000-00002A030000}"/>
    <cellStyle name="Total 2 2" xfId="1029" xr:uid="{00000000-0005-0000-0000-0000E7000000}"/>
    <cellStyle name="Total 2 3" xfId="1619" xr:uid="{00000000-0005-0000-0000-0000A0000000}"/>
    <cellStyle name="Total 3" xfId="166" xr:uid="{00000000-0005-0000-0000-00002B030000}"/>
    <cellStyle name="Total 3 2" xfId="1010" xr:uid="{00000000-0005-0000-0000-0000D9000000}"/>
    <cellStyle name="Total 3 3" xfId="1620" xr:uid="{00000000-0005-0000-0000-0000A1000000}"/>
    <cellStyle name="Warning Text" xfId="237" xr:uid="{00000000-0005-0000-0000-00002C030000}"/>
    <cellStyle name="Warning Text 2" xfId="1690" xr:uid="{00000000-0005-0000-0000-0000E7000000}"/>
  </cellStyles>
  <dxfs count="0"/>
  <tableStyles count="0" defaultTableStyle="TableStyleMedium2" defaultPivotStyle="PivotStyleLight16"/>
  <colors>
    <mruColors>
      <color rgb="FFCC00CC"/>
      <color rgb="FF3399FF"/>
      <color rgb="FF00FFCC"/>
      <color rgb="FF66FFFF"/>
      <color rgb="FF0A89C2"/>
      <color rgb="FF6699FF"/>
      <color rgb="FF009999"/>
      <color rgb="FFCCCC00"/>
      <color rgb="FF00CCFF"/>
      <color rgb="FF29D1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C"/>
              <a:t>consumo de energía eléctrica mwh</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US"/>
        </a:p>
      </c:txPr>
    </c:title>
    <c:autoTitleDeleted val="0"/>
    <c:plotArea>
      <c:layout>
        <c:manualLayout>
          <c:layoutTarget val="inner"/>
          <c:xMode val="edge"/>
          <c:yMode val="edge"/>
          <c:x val="1.0511971645818843E-2"/>
          <c:y val="0.32461180105004939"/>
          <c:w val="0.97430406931022062"/>
          <c:h val="0.57505108974361241"/>
        </c:manualLayout>
      </c:layout>
      <c:barChart>
        <c:barDir val="col"/>
        <c:grouping val="clustered"/>
        <c:varyColors val="0"/>
        <c:ser>
          <c:idx val="1"/>
          <c:order val="0"/>
          <c:tx>
            <c:strRef>
              <c:f>'01_MWh GENERACIÓN'!$C$12</c:f>
              <c:strCache>
                <c:ptCount val="1"/>
                <c:pt idx="0">
                  <c:v>SAN CRISTÓBAL 
EÓLICO</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GENERACIÓN'!$C$104:$C$112</c:f>
              <c:numCache>
                <c:formatCode>_(* #,##0.00_);_(* \(#,##0.00\);_(* "-"??_);_(@_)</c:formatCode>
                <c:ptCount val="9"/>
                <c:pt idx="0">
                  <c:v>205.00975</c:v>
                </c:pt>
                <c:pt idx="1">
                  <c:v>70.446250000000006</c:v>
                </c:pt>
                <c:pt idx="2">
                  <c:v>95.522625000000005</c:v>
                </c:pt>
                <c:pt idx="3">
                  <c:v>43.216374999999999</c:v>
                </c:pt>
                <c:pt idx="4">
                  <c:v>256.33724999999998</c:v>
                </c:pt>
                <c:pt idx="5">
                  <c:v>387.00349999999997</c:v>
                </c:pt>
                <c:pt idx="6">
                  <c:v>368.59800000000001</c:v>
                </c:pt>
                <c:pt idx="7">
                  <c:v>311.767</c:v>
                </c:pt>
                <c:pt idx="8">
                  <c:v>255.01949999999999</c:v>
                </c:pt>
              </c:numCache>
            </c:numRef>
          </c:val>
          <c:extLst>
            <c:ext xmlns:c16="http://schemas.microsoft.com/office/drawing/2014/chart" uri="{C3380CC4-5D6E-409C-BE32-E72D297353CC}">
              <c16:uniqueId val="{00000000-2330-4B18-A4FA-F44D7AFFA260}"/>
            </c:ext>
          </c:extLst>
        </c:ser>
        <c:ser>
          <c:idx val="2"/>
          <c:order val="1"/>
          <c:tx>
            <c:strRef>
              <c:f>'01_MWh GENERACIÓN'!$D$12</c:f>
              <c:strCache>
                <c:ptCount val="1"/>
                <c:pt idx="0">
                  <c:v>SAN CRISTÓBAL 
SOLAR</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GENERACIÓN'!$D$104:$D$112</c:f>
              <c:numCache>
                <c:formatCode>_(* #,##0.00_);_(* \(#,##0.00\);_(* "-"??_);_(@_)</c:formatCode>
                <c:ptCount val="9"/>
                <c:pt idx="0">
                  <c:v>0.83299999999999996</c:v>
                </c:pt>
                <c:pt idx="1">
                  <c:v>0.67100000000000004</c:v>
                </c:pt>
                <c:pt idx="2">
                  <c:v>0.83099999999999996</c:v>
                </c:pt>
                <c:pt idx="3">
                  <c:v>0.76300000000000001</c:v>
                </c:pt>
                <c:pt idx="4">
                  <c:v>0.67900000000000005</c:v>
                </c:pt>
                <c:pt idx="5">
                  <c:v>0.64</c:v>
                </c:pt>
                <c:pt idx="6">
                  <c:v>0.63600000000000001</c:v>
                </c:pt>
                <c:pt idx="7">
                  <c:v>0.76700000000000002</c:v>
                </c:pt>
                <c:pt idx="8">
                  <c:v>0.71299999999999997</c:v>
                </c:pt>
              </c:numCache>
            </c:numRef>
          </c:val>
          <c:extLst>
            <c:ext xmlns:c16="http://schemas.microsoft.com/office/drawing/2014/chart" uri="{C3380CC4-5D6E-409C-BE32-E72D297353CC}">
              <c16:uniqueId val="{00000001-2330-4B18-A4FA-F44D7AFFA260}"/>
            </c:ext>
          </c:extLst>
        </c:ser>
        <c:ser>
          <c:idx val="0"/>
          <c:order val="2"/>
          <c:tx>
            <c:strRef>
              <c:f>'01_MWh GENERACIÓN'!$B$12</c:f>
              <c:strCache>
                <c:ptCount val="1"/>
                <c:pt idx="0">
                  <c:v>SAN CRISTÓBAL 
TÉRMICO</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GENERACIÓN'!$B$104:$B$112</c:f>
              <c:numCache>
                <c:formatCode>_(* #,##0.00_);_(* \(#,##0.00\);_(* "-"??_);_(@_)</c:formatCode>
                <c:ptCount val="9"/>
                <c:pt idx="0">
                  <c:v>1118.2271129999999</c:v>
                </c:pt>
                <c:pt idx="1">
                  <c:v>1273.7184550000002</c:v>
                </c:pt>
                <c:pt idx="2">
                  <c:v>1444.8490979999999</c:v>
                </c:pt>
                <c:pt idx="3">
                  <c:v>1357.1738479999999</c:v>
                </c:pt>
                <c:pt idx="4">
                  <c:v>1215.2293500000001</c:v>
                </c:pt>
                <c:pt idx="5">
                  <c:v>800.93210900000008</c:v>
                </c:pt>
                <c:pt idx="6">
                  <c:v>848.28899999999999</c:v>
                </c:pt>
                <c:pt idx="7">
                  <c:v>831.37097100000005</c:v>
                </c:pt>
                <c:pt idx="8">
                  <c:v>835.13039900000001</c:v>
                </c:pt>
              </c:numCache>
            </c:numRef>
          </c:val>
          <c:extLst>
            <c:ext xmlns:c16="http://schemas.microsoft.com/office/drawing/2014/chart" uri="{C3380CC4-5D6E-409C-BE32-E72D297353CC}">
              <c16:uniqueId val="{00000002-2330-4B18-A4FA-F44D7AFFA260}"/>
            </c:ext>
          </c:extLst>
        </c:ser>
        <c:ser>
          <c:idx val="3"/>
          <c:order val="3"/>
          <c:tx>
            <c:strRef>
              <c:f>'01_MWh GENERACIÓN'!$E$12</c:f>
              <c:strCache>
                <c:ptCount val="1"/>
                <c:pt idx="0">
                  <c:v>SANTA CRUZ
TÉRMICO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GENERACIÓN'!$E$104:$E$112</c:f>
              <c:numCache>
                <c:formatCode>_(* #,##0.00_);_(* \(#,##0.00\);_(* "-"??_);_(@_)</c:formatCode>
                <c:ptCount val="9"/>
                <c:pt idx="0">
                  <c:v>2737.6145780000002</c:v>
                </c:pt>
                <c:pt idx="1">
                  <c:v>2760.342208</c:v>
                </c:pt>
                <c:pt idx="2">
                  <c:v>3139.9094610000002</c:v>
                </c:pt>
                <c:pt idx="3">
                  <c:v>2852.1336609999998</c:v>
                </c:pt>
                <c:pt idx="4">
                  <c:v>2918.3097269999998</c:v>
                </c:pt>
                <c:pt idx="5">
                  <c:v>2231.0353319999999</c:v>
                </c:pt>
                <c:pt idx="6">
                  <c:v>2113.41</c:v>
                </c:pt>
                <c:pt idx="7">
                  <c:v>1962.7204690000001</c:v>
                </c:pt>
                <c:pt idx="8">
                  <c:v>1878.9975030000001</c:v>
                </c:pt>
              </c:numCache>
            </c:numRef>
          </c:val>
          <c:extLst>
            <c:ext xmlns:c16="http://schemas.microsoft.com/office/drawing/2014/chart" uri="{C3380CC4-5D6E-409C-BE32-E72D297353CC}">
              <c16:uniqueId val="{00000003-2330-4B18-A4FA-F44D7AFFA260}"/>
            </c:ext>
          </c:extLst>
        </c:ser>
        <c:ser>
          <c:idx val="4"/>
          <c:order val="4"/>
          <c:tx>
            <c:strRef>
              <c:f>'01_MWh GENERACIÓN'!$H$12</c:f>
              <c:strCache>
                <c:ptCount val="1"/>
                <c:pt idx="0">
                  <c:v>ISABELA
TÉRMICO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GENERACIÓN'!$H$104:$H$112</c:f>
              <c:numCache>
                <c:formatCode>_(* #,##0.00_);_(* \(#,##0.00\);_(* "-"??_);_(@_)</c:formatCode>
                <c:ptCount val="9"/>
                <c:pt idx="0">
                  <c:v>491.63327500000003</c:v>
                </c:pt>
                <c:pt idx="1">
                  <c:v>497.68510900000001</c:v>
                </c:pt>
                <c:pt idx="2">
                  <c:v>618.08202399999993</c:v>
                </c:pt>
                <c:pt idx="3">
                  <c:v>555.22804599999995</c:v>
                </c:pt>
                <c:pt idx="4">
                  <c:v>515.98918600000002</c:v>
                </c:pt>
                <c:pt idx="5">
                  <c:v>368.38443199999995</c:v>
                </c:pt>
                <c:pt idx="6">
                  <c:v>463.42</c:v>
                </c:pt>
                <c:pt idx="7">
                  <c:v>439.49607099999997</c:v>
                </c:pt>
                <c:pt idx="8">
                  <c:v>339.73899999999998</c:v>
                </c:pt>
              </c:numCache>
            </c:numRef>
          </c:val>
          <c:extLst>
            <c:ext xmlns:c16="http://schemas.microsoft.com/office/drawing/2014/chart" uri="{C3380CC4-5D6E-409C-BE32-E72D297353CC}">
              <c16:uniqueId val="{00000004-2330-4B18-A4FA-F44D7AFFA260}"/>
            </c:ext>
          </c:extLst>
        </c:ser>
        <c:ser>
          <c:idx val="5"/>
          <c:order val="5"/>
          <c:tx>
            <c:strRef>
              <c:f>'01_MWh GENERACIÓN'!$J$12</c:f>
              <c:strCache>
                <c:ptCount val="1"/>
                <c:pt idx="0">
                  <c:v>FLOREANA
TÉRMICO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GENERACIÓN'!$J$104:$J$112</c:f>
              <c:numCache>
                <c:formatCode>_(* #,##0.00_);_(* \(#,##0.00\);_(* "-"??_);_(@_)</c:formatCode>
                <c:ptCount val="9"/>
                <c:pt idx="0">
                  <c:v>22.523489000000001</c:v>
                </c:pt>
                <c:pt idx="1">
                  <c:v>23.597280999999999</c:v>
                </c:pt>
                <c:pt idx="2">
                  <c:v>26.958552000000001</c:v>
                </c:pt>
                <c:pt idx="3">
                  <c:v>20.598675</c:v>
                </c:pt>
                <c:pt idx="4">
                  <c:v>24.765730999999999</c:v>
                </c:pt>
                <c:pt idx="5">
                  <c:v>22.950056</c:v>
                </c:pt>
                <c:pt idx="6">
                  <c:v>24.369</c:v>
                </c:pt>
                <c:pt idx="7">
                  <c:v>23.258776999999998</c:v>
                </c:pt>
                <c:pt idx="8">
                  <c:v>21.293702</c:v>
                </c:pt>
              </c:numCache>
            </c:numRef>
          </c:val>
          <c:extLst>
            <c:ext xmlns:c16="http://schemas.microsoft.com/office/drawing/2014/chart" uri="{C3380CC4-5D6E-409C-BE32-E72D297353CC}">
              <c16:uniqueId val="{00000005-2330-4B18-A4FA-F44D7AFFA260}"/>
            </c:ext>
          </c:extLst>
        </c:ser>
        <c:ser>
          <c:idx val="6"/>
          <c:order val="6"/>
          <c:tx>
            <c:strRef>
              <c:f>'01_MWh GENERACIÓN'!$F$12</c:f>
              <c:strCache>
                <c:ptCount val="1"/>
                <c:pt idx="0">
                  <c:v>SANTA CRUZ-BALTRA
FOTOVOLTAICA</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GENERACIÓN'!$G$104:$G$112</c:f>
              <c:numCache>
                <c:formatCode>_(* #,##0.00_);_(* \(#,##0.00\);_(* "-"??_);_(@_)</c:formatCode>
                <c:ptCount val="9"/>
                <c:pt idx="0">
                  <c:v>118.07546000000001</c:v>
                </c:pt>
                <c:pt idx="1">
                  <c:v>79.876000000000005</c:v>
                </c:pt>
                <c:pt idx="2">
                  <c:v>108.89259299999999</c:v>
                </c:pt>
                <c:pt idx="3">
                  <c:v>84.774000000000001</c:v>
                </c:pt>
                <c:pt idx="4">
                  <c:v>177.68199999999999</c:v>
                </c:pt>
                <c:pt idx="5">
                  <c:v>318.56599999999997</c:v>
                </c:pt>
                <c:pt idx="6">
                  <c:v>476.48899999999998</c:v>
                </c:pt>
                <c:pt idx="7">
                  <c:v>511.05500000000001</c:v>
                </c:pt>
                <c:pt idx="8">
                  <c:v>445.3</c:v>
                </c:pt>
              </c:numCache>
            </c:numRef>
          </c:val>
          <c:extLst>
            <c:ext xmlns:c16="http://schemas.microsoft.com/office/drawing/2014/chart" uri="{C3380CC4-5D6E-409C-BE32-E72D297353CC}">
              <c16:uniqueId val="{00000006-2330-4B18-A4FA-F44D7AFFA260}"/>
            </c:ext>
          </c:extLst>
        </c:ser>
        <c:ser>
          <c:idx val="7"/>
          <c:order val="7"/>
          <c:tx>
            <c:strRef>
              <c:f>'01_MWh GENERACIÓN'!$L$12</c:f>
              <c:strCache>
                <c:ptCount val="1"/>
                <c:pt idx="0">
                  <c:v>FLOREANA
FOTOVOLTAICA</c:v>
                </c:pt>
              </c:strCache>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GENERACIÓN'!$L$104:$L$112</c:f>
              <c:numCache>
                <c:formatCode>_(* #,##0.00_);_(* \(#,##0.00\);_(* "-"??_);_(@_)</c:formatCode>
                <c:ptCount val="9"/>
                <c:pt idx="0">
                  <c:v>2.471851</c:v>
                </c:pt>
                <c:pt idx="1">
                  <c:v>2.1134229999999996</c:v>
                </c:pt>
                <c:pt idx="2">
                  <c:v>2.6252579999999996</c:v>
                </c:pt>
                <c:pt idx="3">
                  <c:v>2.6108119999999997</c:v>
                </c:pt>
                <c:pt idx="4">
                  <c:v>2.3405389999999997</c:v>
                </c:pt>
                <c:pt idx="5">
                  <c:v>2.024499</c:v>
                </c:pt>
                <c:pt idx="6">
                  <c:v>2.2349999999999999</c:v>
                </c:pt>
                <c:pt idx="7">
                  <c:v>2.4153350000000002</c:v>
                </c:pt>
                <c:pt idx="8">
                  <c:v>2.2954889999999999</c:v>
                </c:pt>
              </c:numCache>
            </c:numRef>
          </c:val>
          <c:extLst>
            <c:ext xmlns:c16="http://schemas.microsoft.com/office/drawing/2014/chart" uri="{C3380CC4-5D6E-409C-BE32-E72D297353CC}">
              <c16:uniqueId val="{00000007-2330-4B18-A4FA-F44D7AFFA260}"/>
            </c:ext>
          </c:extLst>
        </c:ser>
        <c:ser>
          <c:idx val="8"/>
          <c:order val="8"/>
          <c:tx>
            <c:strRef>
              <c:f>'01_MWh GENERACIÓN'!$G$12</c:f>
              <c:strCache>
                <c:ptCount val="1"/>
                <c:pt idx="0">
                  <c:v>SANTA CRUZ - BALTRA
EÓLICO</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GENERACIÓN'!$G$104:$G$112</c:f>
              <c:numCache>
                <c:formatCode>_(* #,##0.00_);_(* \(#,##0.00\);_(* "-"??_);_(@_)</c:formatCode>
                <c:ptCount val="9"/>
                <c:pt idx="0">
                  <c:v>118.07546000000001</c:v>
                </c:pt>
                <c:pt idx="1">
                  <c:v>79.876000000000005</c:v>
                </c:pt>
                <c:pt idx="2">
                  <c:v>108.89259299999999</c:v>
                </c:pt>
                <c:pt idx="3">
                  <c:v>84.774000000000001</c:v>
                </c:pt>
                <c:pt idx="4">
                  <c:v>177.68199999999999</c:v>
                </c:pt>
                <c:pt idx="5">
                  <c:v>318.56599999999997</c:v>
                </c:pt>
                <c:pt idx="6">
                  <c:v>476.48899999999998</c:v>
                </c:pt>
                <c:pt idx="7">
                  <c:v>511.05500000000001</c:v>
                </c:pt>
                <c:pt idx="8">
                  <c:v>445.3</c:v>
                </c:pt>
              </c:numCache>
            </c:numRef>
          </c:val>
          <c:extLst>
            <c:ext xmlns:c16="http://schemas.microsoft.com/office/drawing/2014/chart" uri="{C3380CC4-5D6E-409C-BE32-E72D297353CC}">
              <c16:uniqueId val="{00000008-2330-4B18-A4FA-F44D7AFFA260}"/>
            </c:ext>
          </c:extLst>
        </c:ser>
        <c:ser>
          <c:idx val="9"/>
          <c:order val="9"/>
          <c:tx>
            <c:strRef>
              <c:f>'01_MWh GENERACIÓN'!$I$12</c:f>
              <c:strCache>
                <c:ptCount val="1"/>
                <c:pt idx="0">
                  <c:v>ISABELA
FOTOVOLTAICA</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'01_MWh GENERACIÓN'!$A$104:$A$112</c:f>
              <c:numCache>
                <c:formatCode>mmm\-yy</c:formatCode>
                <c:ptCount val="9"/>
                <c:pt idx="0">
                  <c:v>43101</c:v>
                </c:pt>
                <c:pt idx="1">
                  <c:v>43132</c:v>
                </c:pt>
                <c:pt idx="2">
                  <c:v>43160</c:v>
                </c:pt>
                <c:pt idx="3">
                  <c:v>43191</c:v>
                </c:pt>
                <c:pt idx="4">
                  <c:v>43221</c:v>
                </c:pt>
                <c:pt idx="5">
                  <c:v>43252</c:v>
                </c:pt>
                <c:pt idx="6">
                  <c:v>43282</c:v>
                </c:pt>
                <c:pt idx="7">
                  <c:v>43313</c:v>
                </c:pt>
                <c:pt idx="8">
                  <c:v>43344</c:v>
                </c:pt>
              </c:numCache>
            </c:numRef>
          </c:cat>
          <c:val>
            <c:numRef>
              <c:f>'01_MWh GENERACIÓN'!$I$104:$I$112</c:f>
              <c:numCache>
                <c:formatCode>_(* #,##0.00_);_(* \(#,##0.00\);_(* "-"??_);_(@_)</c:formatCode>
                <c:ptCount val="9"/>
                <c:pt idx="5">
                  <c:v>5.8140000000000001</c:v>
                </c:pt>
                <c:pt idx="6">
                  <c:v>0</c:v>
                </c:pt>
                <c:pt idx="7">
                  <c:v>2.7469999999999999</c:v>
                </c:pt>
                <c:pt idx="8">
                  <c:v>85.509</c:v>
                </c:pt>
              </c:numCache>
            </c:numRef>
          </c:val>
          <c:extLst>
            <c:ext xmlns:c16="http://schemas.microsoft.com/office/drawing/2014/chart" uri="{C3380CC4-5D6E-409C-BE32-E72D297353CC}">
              <c16:uniqueId val="{00000001-F03F-4E9C-85CC-8BAA57326BB8}"/>
            </c:ext>
          </c:extLst>
        </c:ser>
        <c:dLbls>
          <c:dLblPos val="outEnd"/>
          <c:showLegendKey val="0"/>
          <c:showVal val="1"/>
          <c:showCatName val="0"/>
          <c:showSerName val="0"/>
          <c:showPercent val="0"/>
          <c:showBubbleSize val="0"/>
        </c:dLbls>
        <c:gapWidth val="444"/>
        <c:overlap val="-90"/>
        <c:axId val="-1126404704"/>
        <c:axId val="-1126400352"/>
      </c:barChart>
      <c:catAx>
        <c:axId val="-1126404704"/>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US"/>
          </a:p>
        </c:txPr>
        <c:crossAx val="-1126400352"/>
        <c:crosses val="autoZero"/>
        <c:auto val="0"/>
        <c:lblAlgn val="ctr"/>
        <c:lblOffset val="100"/>
        <c:noMultiLvlLbl val="1"/>
      </c:catAx>
      <c:valAx>
        <c:axId val="-1126400352"/>
        <c:scaling>
          <c:orientation val="minMax"/>
        </c:scaling>
        <c:delete val="1"/>
        <c:axPos val="l"/>
        <c:numFmt formatCode="_(* #,##0_);_(* \(#,##0\);_(* &quot;-&quot;_);_(@_)" sourceLinked="0"/>
        <c:majorTickMark val="none"/>
        <c:minorTickMark val="none"/>
        <c:tickLblPos val="nextTo"/>
        <c:crossAx val="-11264047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000000000000344" l="0.70000000000000062" r="0.70000000000000062" t="0.750000000000003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C" sz="1200"/>
              <a:t>PORCENTAJE</a:t>
            </a:r>
            <a:r>
              <a:rPr lang="es-EC" sz="1200" baseline="0"/>
              <a:t> DE RECAUDACIÓN</a:t>
            </a:r>
            <a:endParaRPr lang="es-EC" sz="1200"/>
          </a:p>
        </c:rich>
      </c:tx>
      <c:overlay val="0"/>
    </c:title>
    <c:autoTitleDeleted val="0"/>
    <c:plotArea>
      <c:layout/>
      <c:barChart>
        <c:barDir val="col"/>
        <c:grouping val="clustered"/>
        <c:varyColors val="0"/>
        <c:ser>
          <c:idx val="2"/>
          <c:order val="0"/>
          <c:tx>
            <c:strRef>
              <c:f>'07_IND_RECAUDACION'!$E$11</c:f>
              <c:strCache>
                <c:ptCount val="1"/>
                <c:pt idx="0">
                  <c:v>Recaudación</c:v>
                </c:pt>
              </c:strCache>
            </c:strRef>
          </c:tx>
          <c:spPr>
            <a:solidFill>
              <a:schemeClr val="tx2">
                <a:lumMod val="40000"/>
                <a:lumOff val="60000"/>
                <a:alpha val="91000"/>
              </a:schemeClr>
            </a:solidFill>
            <a:ln w="0"/>
            <a:effectLst>
              <a:outerShdw blurRad="50800" dist="38100" dir="2700000" algn="tl" rotWithShape="0">
                <a:prstClr val="black">
                  <a:alpha val="40000"/>
                </a:prstClr>
              </a:outerShdw>
            </a:effectLst>
          </c:spPr>
          <c:invertIfNegative val="0"/>
          <c:cat>
            <c:numRef>
              <c:f>'07_IND_RECAUDACION'!$A$69:$A$98</c:f>
              <c:numCache>
                <c:formatCode>mmm\-yy</c:formatCode>
                <c:ptCount val="6"/>
                <c:pt idx="0">
                  <c:v>43009</c:v>
                </c:pt>
                <c:pt idx="1">
                  <c:v>43040</c:v>
                </c:pt>
                <c:pt idx="2">
                  <c:v>43070</c:v>
                </c:pt>
                <c:pt idx="3">
                  <c:v>43101</c:v>
                </c:pt>
                <c:pt idx="4">
                  <c:v>43132</c:v>
                </c:pt>
                <c:pt idx="5">
                  <c:v>43160</c:v>
                </c:pt>
              </c:numCache>
            </c:numRef>
          </c:cat>
          <c:val>
            <c:numRef>
              <c:f>'07_IND_RECAUDACION'!$E$88:$E$102</c:f>
              <c:numCache>
                <c:formatCode>_(* #,##0_);_(* \(#,##0\);_(* "-"??_);_(@_)</c:formatCode>
                <c:ptCount val="10"/>
                <c:pt idx="0">
                  <c:v>463835.79</c:v>
                </c:pt>
                <c:pt idx="1">
                  <c:v>471499.93000000005</c:v>
                </c:pt>
                <c:pt idx="2">
                  <c:v>456557.75</c:v>
                </c:pt>
                <c:pt idx="3">
                  <c:v>538873.27</c:v>
                </c:pt>
                <c:pt idx="4">
                  <c:v>688946.94</c:v>
                </c:pt>
                <c:pt idx="5">
                  <c:v>640131.51</c:v>
                </c:pt>
                <c:pt idx="6">
                  <c:v>663974.02</c:v>
                </c:pt>
                <c:pt idx="7">
                  <c:v>676426.32000000007</c:v>
                </c:pt>
                <c:pt idx="8">
                  <c:v>573704.81999999995</c:v>
                </c:pt>
                <c:pt idx="9">
                  <c:v>532271</c:v>
                </c:pt>
              </c:numCache>
            </c:numRef>
          </c:val>
          <c:extLst>
            <c:ext xmlns:c16="http://schemas.microsoft.com/office/drawing/2014/chart" uri="{C3380CC4-5D6E-409C-BE32-E72D297353CC}">
              <c16:uniqueId val="{00000000-72BF-4870-8320-036751CD4322}"/>
            </c:ext>
          </c:extLst>
        </c:ser>
        <c:ser>
          <c:idx val="1"/>
          <c:order val="1"/>
          <c:tx>
            <c:strRef>
              <c:f>'07_IND_RECAUDACION'!$F$11</c:f>
              <c:strCache>
                <c:ptCount val="1"/>
                <c:pt idx="0">
                  <c:v>Facturación</c:v>
                </c:pt>
              </c:strCache>
            </c:strRef>
          </c:tx>
          <c:spPr>
            <a:solidFill>
              <a:schemeClr val="accent2">
                <a:alpha val="91000"/>
              </a:schemeClr>
            </a:solidFill>
            <a:ln>
              <a:noFill/>
            </a:ln>
            <a:effectLst>
              <a:outerShdw blurRad="50800" dist="38100" dir="2700000" algn="tl" rotWithShape="0">
                <a:prstClr val="black">
                  <a:alpha val="40000"/>
                </a:prstClr>
              </a:outerShdw>
            </a:effectLst>
          </c:spPr>
          <c:invertIfNegative val="0"/>
          <c:cat>
            <c:numRef>
              <c:f>'07_IND_RECAUDACION'!$A$69:$A$98</c:f>
              <c:numCache>
                <c:formatCode>mmm\-yy</c:formatCode>
                <c:ptCount val="6"/>
                <c:pt idx="0">
                  <c:v>43009</c:v>
                </c:pt>
                <c:pt idx="1">
                  <c:v>43040</c:v>
                </c:pt>
                <c:pt idx="2">
                  <c:v>43070</c:v>
                </c:pt>
                <c:pt idx="3">
                  <c:v>43101</c:v>
                </c:pt>
                <c:pt idx="4">
                  <c:v>43132</c:v>
                </c:pt>
                <c:pt idx="5">
                  <c:v>43160</c:v>
                </c:pt>
              </c:numCache>
            </c:numRef>
          </c:cat>
          <c:val>
            <c:numRef>
              <c:f>'07_IND_RECAUDACION'!$F$88:$F$102</c:f>
              <c:numCache>
                <c:formatCode>_(* #,##0_);_(* \(#,##0\);_(* "-"??_);_(@_)</c:formatCode>
                <c:ptCount val="10"/>
                <c:pt idx="0">
                  <c:v>475485.05000000005</c:v>
                </c:pt>
                <c:pt idx="1">
                  <c:v>498899.43000000005</c:v>
                </c:pt>
                <c:pt idx="2">
                  <c:v>477324.36999999994</c:v>
                </c:pt>
                <c:pt idx="3">
                  <c:v>571224.97000000009</c:v>
                </c:pt>
                <c:pt idx="4">
                  <c:v>675321.15999999992</c:v>
                </c:pt>
                <c:pt idx="5">
                  <c:v>643099.19999999995</c:v>
                </c:pt>
                <c:pt idx="6">
                  <c:v>780849.98</c:v>
                </c:pt>
                <c:pt idx="7">
                  <c:v>575868.03</c:v>
                </c:pt>
                <c:pt idx="8">
                  <c:v>575524.15</c:v>
                </c:pt>
                <c:pt idx="9">
                  <c:v>535910</c:v>
                </c:pt>
              </c:numCache>
            </c:numRef>
          </c:val>
          <c:extLst>
            <c:ext xmlns:c16="http://schemas.microsoft.com/office/drawing/2014/chart" uri="{C3380CC4-5D6E-409C-BE32-E72D297353CC}">
              <c16:uniqueId val="{00000001-72BF-4870-8320-036751CD4322}"/>
            </c:ext>
          </c:extLst>
        </c:ser>
        <c:dLbls>
          <c:showLegendKey val="0"/>
          <c:showVal val="0"/>
          <c:showCatName val="0"/>
          <c:showSerName val="0"/>
          <c:showPercent val="0"/>
          <c:showBubbleSize val="0"/>
        </c:dLbls>
        <c:gapWidth val="75"/>
        <c:overlap val="-25"/>
        <c:axId val="-942199520"/>
        <c:axId val="-942200064"/>
      </c:barChart>
      <c:lineChart>
        <c:grouping val="standard"/>
        <c:varyColors val="0"/>
        <c:ser>
          <c:idx val="0"/>
          <c:order val="2"/>
          <c:tx>
            <c:strRef>
              <c:f>'07_IND_RECAUDACION'!$G$11</c:f>
              <c:strCache>
                <c:ptCount val="1"/>
                <c:pt idx="0">
                  <c:v>Índice</c:v>
                </c:pt>
              </c:strCache>
            </c:strRef>
          </c:tx>
          <c:spPr>
            <a:ln w="34925">
              <a:solidFill>
                <a:schemeClr val="accent5">
                  <a:lumMod val="75000"/>
                </a:schemeClr>
              </a:solidFill>
            </a:ln>
          </c:spPr>
          <c:marker>
            <c:symbol val="diamond"/>
            <c:size val="4"/>
            <c:spPr>
              <a:solidFill>
                <a:schemeClr val="accent5">
                  <a:lumMod val="40000"/>
                  <a:lumOff val="60000"/>
                </a:schemeClr>
              </a:solidFill>
              <a:ln w="3175">
                <a:solidFill>
                  <a:schemeClr val="accent5">
                    <a:lumMod val="75000"/>
                  </a:schemeClr>
                </a:solidFill>
              </a:ln>
            </c:spPr>
          </c:marker>
          <c:cat>
            <c:multiLvlStrRef>
              <c:f>'07_IND_RECAUDACION'!$A$69:$A$87</c:f>
            </c:multiLvlStrRef>
          </c:cat>
          <c:val>
            <c:numRef>
              <c:f>'07_IND_RECAUDACION'!$G$88:$G$102</c:f>
              <c:numCache>
                <c:formatCode>0.00%</c:formatCode>
                <c:ptCount val="10"/>
                <c:pt idx="0">
                  <c:v>0.97550026020797065</c:v>
                </c:pt>
                <c:pt idx="1">
                  <c:v>0.94508011364134048</c:v>
                </c:pt>
                <c:pt idx="2">
                  <c:v>0.9564936942146911</c:v>
                </c:pt>
                <c:pt idx="3">
                  <c:v>0.94336434557473903</c:v>
                </c:pt>
                <c:pt idx="4">
                  <c:v>1.0201767407969269</c:v>
                </c:pt>
                <c:pt idx="5">
                  <c:v>0.99538533091006809</c:v>
                </c:pt>
                <c:pt idx="6">
                  <c:v>0.85032213229998421</c:v>
                </c:pt>
                <c:pt idx="7">
                  <c:v>1.1746203726572562</c:v>
                </c:pt>
                <c:pt idx="8">
                  <c:v>0.99680000000000002</c:v>
                </c:pt>
                <c:pt idx="9">
                  <c:v>0.99320968072997329</c:v>
                </c:pt>
              </c:numCache>
            </c:numRef>
          </c:val>
          <c:smooth val="0"/>
          <c:extLst>
            <c:ext xmlns:c16="http://schemas.microsoft.com/office/drawing/2014/chart" uri="{C3380CC4-5D6E-409C-BE32-E72D297353CC}">
              <c16:uniqueId val="{00000002-72BF-4870-8320-036751CD4322}"/>
            </c:ext>
          </c:extLst>
        </c:ser>
        <c:dLbls>
          <c:showLegendKey val="0"/>
          <c:showVal val="0"/>
          <c:showCatName val="0"/>
          <c:showSerName val="0"/>
          <c:showPercent val="0"/>
          <c:showBubbleSize val="0"/>
        </c:dLbls>
        <c:marker val="1"/>
        <c:smooth val="0"/>
        <c:axId val="-942213120"/>
        <c:axId val="-942209312"/>
      </c:lineChart>
      <c:catAx>
        <c:axId val="-942213120"/>
        <c:scaling>
          <c:orientation val="minMax"/>
        </c:scaling>
        <c:delete val="0"/>
        <c:axPos val="b"/>
        <c:numFmt formatCode="mmm\-yy" sourceLinked="1"/>
        <c:majorTickMark val="none"/>
        <c:minorTickMark val="none"/>
        <c:tickLblPos val="nextTo"/>
        <c:spPr>
          <a:ln w="3175"/>
        </c:spPr>
        <c:txPr>
          <a:bodyPr rot="0" vert="horz" anchor="b" anchorCtr="0"/>
          <a:lstStyle/>
          <a:p>
            <a:pPr>
              <a:defRPr lang="es-ES" sz="700">
                <a:latin typeface="Myriad Condensed Web" pitchFamily="34" charset="0"/>
              </a:defRPr>
            </a:pPr>
            <a:endParaRPr lang="es-US"/>
          </a:p>
        </c:txPr>
        <c:crossAx val="-942209312"/>
        <c:crosses val="autoZero"/>
        <c:auto val="0"/>
        <c:lblAlgn val="ctr"/>
        <c:lblOffset val="100"/>
        <c:noMultiLvlLbl val="0"/>
      </c:catAx>
      <c:valAx>
        <c:axId val="-942209312"/>
        <c:scaling>
          <c:orientation val="minMax"/>
          <c:max val="1.5"/>
          <c:min val="0"/>
        </c:scaling>
        <c:delete val="0"/>
        <c:axPos val="l"/>
        <c:majorGridlines>
          <c:spPr>
            <a:ln w="3175"/>
          </c:spPr>
        </c:majorGridlines>
        <c:numFmt formatCode="#,##0.00" sourceLinked="0"/>
        <c:majorTickMark val="none"/>
        <c:minorTickMark val="none"/>
        <c:tickLblPos val="nextTo"/>
        <c:spPr>
          <a:ln w="25400">
            <a:noFill/>
          </a:ln>
        </c:spPr>
        <c:txPr>
          <a:bodyPr/>
          <a:lstStyle/>
          <a:p>
            <a:pPr>
              <a:defRPr lang="es-ES" sz="700">
                <a:latin typeface="Myriad Condensed Web" pitchFamily="34" charset="0"/>
              </a:defRPr>
            </a:pPr>
            <a:endParaRPr lang="es-US"/>
          </a:p>
        </c:txPr>
        <c:crossAx val="-942213120"/>
        <c:crosses val="autoZero"/>
        <c:crossBetween val="between"/>
        <c:majorUnit val="0.2"/>
        <c:minorUnit val="0.1"/>
      </c:valAx>
      <c:valAx>
        <c:axId val="-942200064"/>
        <c:scaling>
          <c:orientation val="minMax"/>
        </c:scaling>
        <c:delete val="0"/>
        <c:axPos val="r"/>
        <c:numFmt formatCode="0" sourceLinked="0"/>
        <c:majorTickMark val="out"/>
        <c:minorTickMark val="none"/>
        <c:tickLblPos val="nextTo"/>
        <c:spPr>
          <a:ln w="3175"/>
        </c:spPr>
        <c:txPr>
          <a:bodyPr/>
          <a:lstStyle/>
          <a:p>
            <a:pPr>
              <a:defRPr lang="es-ES" sz="700">
                <a:latin typeface="Myriad Condensed Web" pitchFamily="34" charset="0"/>
              </a:defRPr>
            </a:pPr>
            <a:endParaRPr lang="es-US"/>
          </a:p>
        </c:txPr>
        <c:crossAx val="-942199520"/>
        <c:crosses val="max"/>
        <c:crossBetween val="between"/>
      </c:valAx>
      <c:catAx>
        <c:axId val="-942199520"/>
        <c:scaling>
          <c:orientation val="minMax"/>
        </c:scaling>
        <c:delete val="1"/>
        <c:axPos val="b"/>
        <c:numFmt formatCode="mmm\-yy" sourceLinked="1"/>
        <c:majorTickMark val="out"/>
        <c:minorTickMark val="none"/>
        <c:tickLblPos val="none"/>
        <c:crossAx val="-942200064"/>
        <c:crosses val="autoZero"/>
        <c:auto val="0"/>
        <c:lblAlgn val="ctr"/>
        <c:lblOffset val="100"/>
        <c:noMultiLvlLbl val="1"/>
      </c:catAx>
    </c:plotArea>
    <c:legend>
      <c:legendPos val="b"/>
      <c:legendEntry>
        <c:idx val="0"/>
        <c:txPr>
          <a:bodyPr/>
          <a:lstStyle/>
          <a:p>
            <a:pPr>
              <a:defRPr lang="es-ES" sz="1000" b="1">
                <a:solidFill>
                  <a:schemeClr val="tx2">
                    <a:lumMod val="75000"/>
                  </a:schemeClr>
                </a:solidFill>
                <a:latin typeface="Myriad Condensed Web" pitchFamily="34" charset="0"/>
              </a:defRPr>
            </a:pPr>
            <a:endParaRPr lang="es-US"/>
          </a:p>
        </c:txPr>
      </c:legendEntry>
      <c:overlay val="0"/>
      <c:txPr>
        <a:bodyPr/>
        <a:lstStyle/>
        <a:p>
          <a:pPr>
            <a:defRPr lang="es-ES" sz="1000" b="1">
              <a:solidFill>
                <a:schemeClr val="tx2">
                  <a:lumMod val="75000"/>
                </a:schemeClr>
              </a:solidFill>
              <a:latin typeface="Myriad Condensed Web" pitchFamily="34" charset="0"/>
            </a:defRPr>
          </a:pPr>
          <a:endParaRPr lang="es-US"/>
        </a:p>
      </c:txPr>
    </c:legend>
    <c:plotVisOnly val="1"/>
    <c:dispBlanksAs val="gap"/>
    <c:showDLblsOverMax val="0"/>
  </c:chart>
  <c:spPr>
    <a:ln>
      <a:solidFill>
        <a:schemeClr val="bg1">
          <a:lumMod val="50000"/>
        </a:schemeClr>
      </a:solid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EC" sz="1400"/>
              <a:t>CARTERA</a:t>
            </a:r>
            <a:r>
              <a:rPr lang="es-EC" sz="1400" baseline="0"/>
              <a:t> VENCIDA </a:t>
            </a:r>
            <a:r>
              <a:rPr lang="es-EC" sz="1400"/>
              <a:t>[$]</a:t>
            </a:r>
          </a:p>
        </c:rich>
      </c:tx>
      <c:layout>
        <c:manualLayout>
          <c:xMode val="edge"/>
          <c:yMode val="edge"/>
          <c:x val="0.36643037441741438"/>
          <c:y val="3.9999745082481856E-3"/>
        </c:manualLayout>
      </c:layout>
      <c:overlay val="0"/>
    </c:title>
    <c:autoTitleDeleted val="0"/>
    <c:plotArea>
      <c:layout>
        <c:manualLayout>
          <c:layoutTarget val="inner"/>
          <c:xMode val="edge"/>
          <c:yMode val="edge"/>
          <c:x val="6.5380419315055491E-2"/>
          <c:y val="0.13693824052958767"/>
          <c:w val="0.90382166760573424"/>
          <c:h val="0.72852592210024991"/>
        </c:manualLayout>
      </c:layout>
      <c:barChart>
        <c:barDir val="col"/>
        <c:grouping val="clustered"/>
        <c:varyColors val="0"/>
        <c:ser>
          <c:idx val="2"/>
          <c:order val="0"/>
          <c:tx>
            <c:strRef>
              <c:f>'08_CARTERA VENCIDA &gt;30'!$E$11</c:f>
              <c:strCache>
                <c:ptCount val="1"/>
                <c:pt idx="0">
                  <c:v>Cartera Vencida [$]</c:v>
                </c:pt>
              </c:strCache>
            </c:strRef>
          </c:tx>
          <c:spPr>
            <a:solidFill>
              <a:schemeClr val="accent5">
                <a:lumMod val="75000"/>
              </a:schemeClr>
            </a:solidFill>
          </c:spPr>
          <c:invertIfNegative val="0"/>
          <c:cat>
            <c:numRef>
              <c:f>'08_CARTERA VENCIDA &gt;30'!$A$65:$A$81</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'08_CARTERA VENCIDA &gt;30'!$G$65:$G$81</c:f>
              <c:numCache>
                <c:formatCode>_(* #,##0.00_);_(* \(#,##0.00\);_(* "-"??_);_(@_)</c:formatCode>
                <c:ptCount val="12"/>
                <c:pt idx="0">
                  <c:v>8557.2000000000007</c:v>
                </c:pt>
                <c:pt idx="1">
                  <c:v>9374.4699999999993</c:v>
                </c:pt>
                <c:pt idx="2">
                  <c:v>8818.6499999999978</c:v>
                </c:pt>
                <c:pt idx="3">
                  <c:v>62517.57</c:v>
                </c:pt>
                <c:pt idx="4">
                  <c:v>19806.86</c:v>
                </c:pt>
                <c:pt idx="5">
                  <c:v>8751.2199999999993</c:v>
                </c:pt>
                <c:pt idx="6">
                  <c:v>9649.08</c:v>
                </c:pt>
                <c:pt idx="7">
                  <c:v>8616.3399999999983</c:v>
                </c:pt>
                <c:pt idx="8">
                  <c:v>9400.39</c:v>
                </c:pt>
                <c:pt idx="9">
                  <c:v>7646.34</c:v>
                </c:pt>
                <c:pt idx="10">
                  <c:v>5868.97</c:v>
                </c:pt>
                <c:pt idx="11">
                  <c:v>15227.61</c:v>
                </c:pt>
              </c:numCache>
            </c:numRef>
          </c:val>
          <c:extLst>
            <c:ext xmlns:c16="http://schemas.microsoft.com/office/drawing/2014/chart" uri="{C3380CC4-5D6E-409C-BE32-E72D297353CC}">
              <c16:uniqueId val="{00000000-E0A0-4779-B09F-6C772A13BEE9}"/>
            </c:ext>
          </c:extLst>
        </c:ser>
        <c:dLbls>
          <c:showLegendKey val="0"/>
          <c:showVal val="0"/>
          <c:showCatName val="0"/>
          <c:showSerName val="0"/>
          <c:showPercent val="0"/>
          <c:showBubbleSize val="0"/>
        </c:dLbls>
        <c:gapWidth val="55"/>
        <c:axId val="-942207680"/>
        <c:axId val="-942201696"/>
      </c:barChart>
      <c:catAx>
        <c:axId val="-942207680"/>
        <c:scaling>
          <c:orientation val="minMax"/>
        </c:scaling>
        <c:delete val="0"/>
        <c:axPos val="b"/>
        <c:numFmt formatCode="mmm\-yy" sourceLinked="1"/>
        <c:majorTickMark val="out"/>
        <c:minorTickMark val="none"/>
        <c:tickLblPos val="nextTo"/>
        <c:txPr>
          <a:bodyPr rot="0" vert="horz"/>
          <a:lstStyle/>
          <a:p>
            <a:pPr>
              <a:defRPr/>
            </a:pPr>
            <a:endParaRPr lang="es-US"/>
          </a:p>
        </c:txPr>
        <c:crossAx val="-942201696"/>
        <c:crosses val="autoZero"/>
        <c:auto val="0"/>
        <c:lblAlgn val="ctr"/>
        <c:lblOffset val="100"/>
        <c:noMultiLvlLbl val="0"/>
      </c:catAx>
      <c:valAx>
        <c:axId val="-942201696"/>
        <c:scaling>
          <c:orientation val="minMax"/>
        </c:scaling>
        <c:delete val="0"/>
        <c:axPos val="l"/>
        <c:majorGridlines/>
        <c:numFmt formatCode="#,##0" sourceLinked="0"/>
        <c:majorTickMark val="out"/>
        <c:minorTickMark val="none"/>
        <c:tickLblPos val="nextTo"/>
        <c:crossAx val="-942207680"/>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EC"/>
              <a:t>Perdidas de energía</a:t>
            </a:r>
          </a:p>
        </c:rich>
      </c:tx>
      <c:layout>
        <c:manualLayout>
          <c:xMode val="edge"/>
          <c:yMode val="edge"/>
          <c:x val="4.3447907080898039E-2"/>
          <c:y val="4.4989789539890038E-2"/>
        </c:manualLayout>
      </c:layout>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US"/>
        </a:p>
      </c:txPr>
    </c:title>
    <c:autoTitleDeleted val="0"/>
    <c:plotArea>
      <c:layout>
        <c:manualLayout>
          <c:layoutTarget val="inner"/>
          <c:xMode val="edge"/>
          <c:yMode val="edge"/>
          <c:x val="1.0047011348118563E-2"/>
          <c:y val="0.14484695816411161"/>
          <c:w val="0.94707903875532762"/>
          <c:h val="0.68727692292612708"/>
        </c:manualLayout>
      </c:layout>
      <c:lineChart>
        <c:grouping val="stacked"/>
        <c:varyColors val="0"/>
        <c:ser>
          <c:idx val="0"/>
          <c:order val="0"/>
          <c:tx>
            <c:strRef>
              <c:f>'09_PÉRDIDAS '!$B$15:$B$17</c:f>
              <c:strCache>
                <c:ptCount val="3"/>
                <c:pt idx="0">
                  <c:v>META</c:v>
                </c:pt>
              </c:strCache>
            </c:strRef>
          </c:tx>
          <c:spPr>
            <a:ln w="22225"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'09_PÉRDIDAS '!$A$70:$A$86</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'09_PÉRDIDAS '!$B$70:$B$86</c:f>
              <c:numCache>
                <c:formatCode>0.00</c:formatCode>
                <c:ptCount val="13"/>
                <c:pt idx="0">
                  <c:v>8.5</c:v>
                </c:pt>
                <c:pt idx="1">
                  <c:v>8.5</c:v>
                </c:pt>
                <c:pt idx="2">
                  <c:v>8.5</c:v>
                </c:pt>
                <c:pt idx="3">
                  <c:v>8.5</c:v>
                </c:pt>
                <c:pt idx="4">
                  <c:v>8.16</c:v>
                </c:pt>
                <c:pt idx="5">
                  <c:v>8.16</c:v>
                </c:pt>
                <c:pt idx="6">
                  <c:v>8.16</c:v>
                </c:pt>
                <c:pt idx="7">
                  <c:v>8.16</c:v>
                </c:pt>
                <c:pt idx="8">
                  <c:v>8.16</c:v>
                </c:pt>
                <c:pt idx="9">
                  <c:v>8.16</c:v>
                </c:pt>
                <c:pt idx="10">
                  <c:v>8.16</c:v>
                </c:pt>
                <c:pt idx="11">
                  <c:v>8.16</c:v>
                </c:pt>
                <c:pt idx="12">
                  <c:v>8.16</c:v>
                </c:pt>
              </c:numCache>
            </c:numRef>
          </c:val>
          <c:smooth val="0"/>
          <c:extLst>
            <c:ext xmlns:c16="http://schemas.microsoft.com/office/drawing/2014/chart" uri="{C3380CC4-5D6E-409C-BE32-E72D297353CC}">
              <c16:uniqueId val="{00000006-89E8-4C3F-B9EA-768306B43662}"/>
            </c:ext>
          </c:extLst>
        </c:ser>
        <c:ser>
          <c:idx val="1"/>
          <c:order val="1"/>
          <c:tx>
            <c:strRef>
              <c:f>'09_PÉRDIDAS '!$C$16:$C$17</c:f>
              <c:strCache>
                <c:ptCount val="2"/>
                <c:pt idx="0">
                  <c:v>PPE - MÓVIL %</c:v>
                </c:pt>
              </c:strCache>
            </c:strRef>
          </c:tx>
          <c:spPr>
            <a:ln w="22225"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'09_PÉRDIDAS '!$A$70:$A$86</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'09_PÉRDIDAS '!$C$70:$C$86</c:f>
              <c:numCache>
                <c:formatCode>0.00</c:formatCode>
                <c:ptCount val="13"/>
                <c:pt idx="0">
                  <c:v>8.24</c:v>
                </c:pt>
                <c:pt idx="1">
                  <c:v>8.1999999999999993</c:v>
                </c:pt>
                <c:pt idx="2">
                  <c:v>7.7</c:v>
                </c:pt>
                <c:pt idx="3">
                  <c:v>7.96</c:v>
                </c:pt>
                <c:pt idx="4">
                  <c:v>8.23</c:v>
                </c:pt>
                <c:pt idx="5">
                  <c:v>8.0500000000000007</c:v>
                </c:pt>
                <c:pt idx="6">
                  <c:v>8.17</c:v>
                </c:pt>
                <c:pt idx="7">
                  <c:v>8.5</c:v>
                </c:pt>
                <c:pt idx="8">
                  <c:v>7.8157026342116591</c:v>
                </c:pt>
                <c:pt idx="9">
                  <c:v>7.722381057537973</c:v>
                </c:pt>
                <c:pt idx="10">
                  <c:v>8.1740675114585795</c:v>
                </c:pt>
                <c:pt idx="11">
                  <c:v>7.9809560299158697</c:v>
                </c:pt>
                <c:pt idx="12">
                  <c:v>7.9887102777438797</c:v>
                </c:pt>
              </c:numCache>
            </c:numRef>
          </c:val>
          <c:smooth val="0"/>
          <c:extLst>
            <c:ext xmlns:c16="http://schemas.microsoft.com/office/drawing/2014/chart" uri="{C3380CC4-5D6E-409C-BE32-E72D297353CC}">
              <c16:uniqueId val="{0000000E-89E8-4C3F-B9EA-768306B43662}"/>
            </c:ext>
          </c:extLst>
        </c:ser>
        <c:ser>
          <c:idx val="2"/>
          <c:order val="2"/>
          <c:tx>
            <c:strRef>
              <c:f>'09_PÉRDIDAS '!$D$16:$D$17</c:f>
              <c:strCache>
                <c:ptCount val="2"/>
                <c:pt idx="0">
                  <c:v>PPE - MENSUAL %</c:v>
                </c:pt>
              </c:strCache>
            </c:strRef>
          </c:tx>
          <c:spPr>
            <a:ln w="22225" cap="rnd" cmpd="sng" algn="ctr">
              <a:solidFill>
                <a:schemeClr val="accent3">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solidFill>
                    <a:latin typeface="+mn-lt"/>
                    <a:ea typeface="+mn-ea"/>
                    <a:cs typeface="+mn-cs"/>
                  </a:defRPr>
                </a:pPr>
                <a:endParaRPr lang="es-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'09_PÉRDIDAS '!$A$70:$A$86</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'09_PÉRDIDAS '!$D$70:$D$86</c:f>
              <c:numCache>
                <c:formatCode>0.00</c:formatCode>
                <c:ptCount val="13"/>
                <c:pt idx="0">
                  <c:v>6.3</c:v>
                </c:pt>
                <c:pt idx="1">
                  <c:v>10.76</c:v>
                </c:pt>
                <c:pt idx="2">
                  <c:v>4.34</c:v>
                </c:pt>
                <c:pt idx="3">
                  <c:v>19.04</c:v>
                </c:pt>
                <c:pt idx="4">
                  <c:v>13.23</c:v>
                </c:pt>
                <c:pt idx="5">
                  <c:v>-2.23</c:v>
                </c:pt>
                <c:pt idx="6">
                  <c:v>15.61</c:v>
                </c:pt>
                <c:pt idx="7">
                  <c:v>3.34</c:v>
                </c:pt>
                <c:pt idx="8">
                  <c:v>2.68</c:v>
                </c:pt>
                <c:pt idx="9">
                  <c:v>1.6138014773885101</c:v>
                </c:pt>
                <c:pt idx="10">
                  <c:v>13.88</c:v>
                </c:pt>
                <c:pt idx="11">
                  <c:v>7.0584232236343443</c:v>
                </c:pt>
                <c:pt idx="12">
                  <c:v>6.5116212480410525</c:v>
                </c:pt>
              </c:numCache>
            </c:numRef>
          </c:val>
          <c:smooth val="0"/>
          <c:extLst>
            <c:ext xmlns:c16="http://schemas.microsoft.com/office/drawing/2014/chart" uri="{C3380CC4-5D6E-409C-BE32-E72D297353CC}">
              <c16:uniqueId val="{00000011-89E8-4C3F-B9EA-768306B43662}"/>
            </c:ext>
          </c:extLst>
        </c:ser>
        <c:dLbls>
          <c:dLblPos val="ctr"/>
          <c:showLegendKey val="0"/>
          <c:showVal val="1"/>
          <c:showCatName val="0"/>
          <c:showSerName val="0"/>
          <c:showPercent val="0"/>
          <c:showBubbleSize val="0"/>
        </c:dLbls>
        <c:marker val="1"/>
        <c:smooth val="0"/>
        <c:axId val="-942212032"/>
        <c:axId val="-942204960"/>
      </c:lineChart>
      <c:dateAx>
        <c:axId val="-942212032"/>
        <c:scaling>
          <c:orientation val="minMax"/>
        </c:scaling>
        <c:delete val="0"/>
        <c:axPos val="b"/>
        <c:numFmt formatCode="mmm\-yy"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US"/>
          </a:p>
        </c:txPr>
        <c:crossAx val="-942204960"/>
        <c:crosses val="autoZero"/>
        <c:auto val="1"/>
        <c:lblOffset val="100"/>
        <c:baseTimeUnit val="months"/>
      </c:dateAx>
      <c:valAx>
        <c:axId val="-942204960"/>
        <c:scaling>
          <c:orientation val="minMax"/>
        </c:scaling>
        <c:delete val="1"/>
        <c:axPos val="l"/>
        <c:numFmt formatCode="0.00" sourceLinked="1"/>
        <c:majorTickMark val="none"/>
        <c:minorTickMark val="none"/>
        <c:tickLblPos val="none"/>
        <c:crossAx val="-94221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US"/>
    </a:p>
  </c:txPr>
  <c:printSettings>
    <c:headerFooter/>
    <c:pageMargins b="0.75000000000000255" l="0.70000000000000062" r="0.70000000000000062" t="0.7500000000000025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900" b="1"/>
            </a:pPr>
            <a:r>
              <a:rPr lang="es-MX" sz="1200" b="1">
                <a:latin typeface="+mn-lt"/>
              </a:rPr>
              <a:t>INDICADOR</a:t>
            </a:r>
            <a:r>
              <a:rPr lang="es-MX" sz="1200" b="1" baseline="0">
                <a:latin typeface="+mn-lt"/>
              </a:rPr>
              <a:t> TTIK</a:t>
            </a:r>
            <a:endParaRPr lang="es-MX" sz="1200" b="1">
              <a:latin typeface="+mn-lt"/>
            </a:endParaRPr>
          </a:p>
        </c:rich>
      </c:tx>
      <c:layout>
        <c:manualLayout>
          <c:xMode val="edge"/>
          <c:yMode val="edge"/>
          <c:x val="0.38295168762409065"/>
          <c:y val="8.0808080808080808E-3"/>
        </c:manualLayout>
      </c:layout>
      <c:overlay val="0"/>
    </c:title>
    <c:autoTitleDeleted val="0"/>
    <c:plotArea>
      <c:layout>
        <c:manualLayout>
          <c:layoutTarget val="inner"/>
          <c:xMode val="edge"/>
          <c:yMode val="edge"/>
          <c:x val="5.5199186441402391E-2"/>
          <c:y val="0.1433630796150481"/>
          <c:w val="0.94905991272808721"/>
          <c:h val="0.63617679790026249"/>
        </c:manualLayout>
      </c:layout>
      <c:lineChart>
        <c:grouping val="standard"/>
        <c:varyColors val="0"/>
        <c:ser>
          <c:idx val="9"/>
          <c:order val="0"/>
          <c:tx>
            <c:strRef>
              <c:f>'10_TTIK_2013_cabecera '!$D$17:$D$18</c:f>
              <c:strCache>
                <c:ptCount val="2"/>
                <c:pt idx="0">
                  <c:v>META MEER ELECGALAPAGOS
AÑO MÓVIL</c:v>
                </c:pt>
              </c:strCache>
            </c:strRef>
          </c:tx>
          <c:spPr>
            <a:ln w="25400">
              <a:solidFill>
                <a:srgbClr val="FF0000"/>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37F-4141-8377-99EBDE85BE8C}"/>
                </c:ext>
              </c:extLst>
            </c:dLbl>
            <c:dLbl>
              <c:idx val="1"/>
              <c:delete val="1"/>
              <c:extLst>
                <c:ext xmlns:c15="http://schemas.microsoft.com/office/drawing/2012/chart" uri="{CE6537A1-D6FC-4f65-9D91-7224C49458BB}"/>
                <c:ext xmlns:c16="http://schemas.microsoft.com/office/drawing/2014/chart" uri="{C3380CC4-5D6E-409C-BE32-E72D297353CC}">
                  <c16:uniqueId val="{00000001-737F-4141-8377-99EBDE85BE8C}"/>
                </c:ext>
              </c:extLst>
            </c:dLbl>
            <c:dLbl>
              <c:idx val="2"/>
              <c:layout>
                <c:manualLayout>
                  <c:x val="-2.4998761949244667E-2"/>
                  <c:y val="-3.9450321606911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7F-4141-8377-99EBDE85BE8C}"/>
                </c:ext>
              </c:extLst>
            </c:dLbl>
            <c:dLbl>
              <c:idx val="3"/>
              <c:delete val="1"/>
              <c:extLst>
                <c:ext xmlns:c15="http://schemas.microsoft.com/office/drawing/2012/chart" uri="{CE6537A1-D6FC-4f65-9D91-7224C49458BB}"/>
                <c:ext xmlns:c16="http://schemas.microsoft.com/office/drawing/2014/chart" uri="{C3380CC4-5D6E-409C-BE32-E72D297353CC}">
                  <c16:uniqueId val="{00000003-737F-4141-8377-99EBDE85BE8C}"/>
                </c:ext>
              </c:extLst>
            </c:dLbl>
            <c:dLbl>
              <c:idx val="4"/>
              <c:delete val="1"/>
              <c:extLst>
                <c:ext xmlns:c15="http://schemas.microsoft.com/office/drawing/2012/chart" uri="{CE6537A1-D6FC-4f65-9D91-7224C49458BB}"/>
                <c:ext xmlns:c16="http://schemas.microsoft.com/office/drawing/2014/chart" uri="{C3380CC4-5D6E-409C-BE32-E72D297353CC}">
                  <c16:uniqueId val="{00000004-737F-4141-8377-99EBDE85BE8C}"/>
                </c:ext>
              </c:extLst>
            </c:dLbl>
            <c:dLbl>
              <c:idx val="5"/>
              <c:delete val="1"/>
              <c:extLst>
                <c:ext xmlns:c15="http://schemas.microsoft.com/office/drawing/2012/chart" uri="{CE6537A1-D6FC-4f65-9D91-7224C49458BB}"/>
                <c:ext xmlns:c16="http://schemas.microsoft.com/office/drawing/2014/chart" uri="{C3380CC4-5D6E-409C-BE32-E72D297353CC}">
                  <c16:uniqueId val="{00000005-737F-4141-8377-99EBDE85BE8C}"/>
                </c:ext>
              </c:extLst>
            </c:dLbl>
            <c:dLbl>
              <c:idx val="6"/>
              <c:delete val="1"/>
              <c:extLst>
                <c:ext xmlns:c15="http://schemas.microsoft.com/office/drawing/2012/chart" uri="{CE6537A1-D6FC-4f65-9D91-7224C49458BB}"/>
                <c:ext xmlns:c16="http://schemas.microsoft.com/office/drawing/2014/chart" uri="{C3380CC4-5D6E-409C-BE32-E72D297353CC}">
                  <c16:uniqueId val="{00000006-737F-4141-8377-99EBDE85BE8C}"/>
                </c:ext>
              </c:extLst>
            </c:dLbl>
            <c:dLbl>
              <c:idx val="7"/>
              <c:delete val="1"/>
              <c:extLst>
                <c:ext xmlns:c15="http://schemas.microsoft.com/office/drawing/2012/chart" uri="{CE6537A1-D6FC-4f65-9D91-7224C49458BB}"/>
                <c:ext xmlns:c16="http://schemas.microsoft.com/office/drawing/2014/chart" uri="{C3380CC4-5D6E-409C-BE32-E72D297353CC}">
                  <c16:uniqueId val="{00000007-737F-4141-8377-99EBDE85BE8C}"/>
                </c:ext>
              </c:extLst>
            </c:dLbl>
            <c:dLbl>
              <c:idx val="8"/>
              <c:layout>
                <c:manualLayout>
                  <c:x val="0.14003553989900824"/>
                  <c:y val="-3.4033901941524856E-2"/>
                </c:manualLayout>
              </c:layout>
              <c:tx>
                <c:rich>
                  <a:bodyPr/>
                  <a:lstStyle/>
                  <a:p>
                    <a:fld id="{9F4627EF-7A27-4EE5-B5E5-D5BF22F07132}" type="CELLREF">
                      <a:rPr lang="en-US"/>
                      <a:pPr/>
                      <a:t>[CELLREF]</a:t>
                    </a:fld>
                    <a:endParaRPr lang="es-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{9F4627EF-7A27-4EE5-B5E5-D5BF22F07132}</c15:txfldGUID>
                      <c15:f>'10_TTIK_2013_cabecera '!$D$68</c15:f>
                      <c15:dlblFieldTableCache>
                        <c:ptCount val="1"/>
                        <c:pt idx="0">
                          <c:v> 8.00 </c:v>
                        </c:pt>
                      </c15:dlblFieldTableCache>
                    </c15:dlblFTEntry>
                  </c15:dlblFieldTable>
                  <c15:showDataLabelsRange val="0"/>
                </c:ext>
                <c:ext xmlns:c16="http://schemas.microsoft.com/office/drawing/2014/chart" uri="{C3380CC4-5D6E-409C-BE32-E72D297353CC}">
                  <c16:uniqueId val="{00000008-737F-4141-8377-99EBDE85BE8C}"/>
                </c:ext>
              </c:extLst>
            </c:dLbl>
            <c:dLbl>
              <c:idx val="9"/>
              <c:delete val="1"/>
              <c:extLst>
                <c:ext xmlns:c15="http://schemas.microsoft.com/office/drawing/2012/chart" uri="{CE6537A1-D6FC-4f65-9D91-7224C49458BB}"/>
                <c:ext xmlns:c16="http://schemas.microsoft.com/office/drawing/2014/chart" uri="{C3380CC4-5D6E-409C-BE32-E72D297353CC}">
                  <c16:uniqueId val="{00000009-737F-4141-8377-99EBDE85BE8C}"/>
                </c:ext>
              </c:extLst>
            </c:dLbl>
            <c:dLbl>
              <c:idx val="10"/>
              <c:delete val="1"/>
              <c:extLst>
                <c:ext xmlns:c15="http://schemas.microsoft.com/office/drawing/2012/chart" uri="{CE6537A1-D6FC-4f65-9D91-7224C49458BB}"/>
                <c:ext xmlns:c16="http://schemas.microsoft.com/office/drawing/2014/chart" uri="{C3380CC4-5D6E-409C-BE32-E72D297353CC}">
                  <c16:uniqueId val="{0000000A-737F-4141-8377-99EBDE85BE8C}"/>
                </c:ext>
              </c:extLst>
            </c:dLbl>
            <c:dLbl>
              <c:idx val="11"/>
              <c:delete val="1"/>
              <c:extLst>
                <c:ext xmlns:c15="http://schemas.microsoft.com/office/drawing/2012/chart" uri="{CE6537A1-D6FC-4f65-9D91-7224C49458BB}"/>
                <c:ext xmlns:c16="http://schemas.microsoft.com/office/drawing/2014/chart" uri="{C3380CC4-5D6E-409C-BE32-E72D297353CC}">
                  <c16:uniqueId val="{0000000B-737F-4141-8377-99EBDE85BE8C}"/>
                </c:ext>
              </c:extLst>
            </c:dLbl>
            <c:dLbl>
              <c:idx val="12"/>
              <c:delete val="1"/>
              <c:extLst>
                <c:ext xmlns:c15="http://schemas.microsoft.com/office/drawing/2012/chart" uri="{CE6537A1-D6FC-4f65-9D91-7224C49458BB}"/>
                <c:ext xmlns:c16="http://schemas.microsoft.com/office/drawing/2014/chart" uri="{C3380CC4-5D6E-409C-BE32-E72D297353CC}">
                  <c16:uniqueId val="{0000000C-737F-4141-8377-99EBDE85BE8C}"/>
                </c:ext>
              </c:extLst>
            </c:dLbl>
            <c:dLbl>
              <c:idx val="13"/>
              <c:delete val="1"/>
              <c:extLst>
                <c:ext xmlns:c15="http://schemas.microsoft.com/office/drawing/2012/chart" uri="{CE6537A1-D6FC-4f65-9D91-7224C49458BB}"/>
                <c:ext xmlns:c16="http://schemas.microsoft.com/office/drawing/2014/chart" uri="{C3380CC4-5D6E-409C-BE32-E72D297353CC}">
                  <c16:uniqueId val="{0000000D-737F-4141-8377-99EBDE85BE8C}"/>
                </c:ext>
              </c:extLst>
            </c:dLbl>
            <c:dLbl>
              <c:idx val="14"/>
              <c:delete val="1"/>
              <c:extLst>
                <c:ext xmlns:c15="http://schemas.microsoft.com/office/drawing/2012/chart" uri="{CE6537A1-D6FC-4f65-9D91-7224C49458BB}"/>
                <c:ext xmlns:c16="http://schemas.microsoft.com/office/drawing/2014/chart" uri="{C3380CC4-5D6E-409C-BE32-E72D297353CC}">
                  <c16:uniqueId val="{0000000E-737F-4141-8377-99EBDE85BE8C}"/>
                </c:ext>
              </c:extLst>
            </c:dLbl>
            <c:dLbl>
              <c:idx val="15"/>
              <c:delete val="1"/>
              <c:extLst>
                <c:ext xmlns:c15="http://schemas.microsoft.com/office/drawing/2012/chart" uri="{CE6537A1-D6FC-4f65-9D91-7224C49458BB}"/>
                <c:ext xmlns:c16="http://schemas.microsoft.com/office/drawing/2014/chart" uri="{C3380CC4-5D6E-409C-BE32-E72D297353CC}">
                  <c16:uniqueId val="{0000000F-737F-4141-8377-99EBDE85BE8C}"/>
                </c:ext>
              </c:extLst>
            </c:dLbl>
            <c:dLbl>
              <c:idx val="16"/>
              <c:delete val="1"/>
              <c:extLst>
                <c:ext xmlns:c15="http://schemas.microsoft.com/office/drawing/2012/chart" uri="{CE6537A1-D6FC-4f65-9D91-7224C49458BB}"/>
                <c:ext xmlns:c16="http://schemas.microsoft.com/office/drawing/2014/chart" uri="{C3380CC4-5D6E-409C-BE32-E72D297353CC}">
                  <c16:uniqueId val="{00000010-737F-4141-8377-99EBDE85BE8C}"/>
                </c:ext>
              </c:extLst>
            </c:dLbl>
            <c:dLbl>
              <c:idx val="17"/>
              <c:delete val="1"/>
              <c:extLst>
                <c:ext xmlns:c15="http://schemas.microsoft.com/office/drawing/2012/chart" uri="{CE6537A1-D6FC-4f65-9D91-7224C49458BB}"/>
                <c:ext xmlns:c16="http://schemas.microsoft.com/office/drawing/2014/chart" uri="{C3380CC4-5D6E-409C-BE32-E72D297353CC}">
                  <c16:uniqueId val="{00000011-737F-4141-8377-99EBDE85BE8C}"/>
                </c:ext>
              </c:extLst>
            </c:dLbl>
            <c:dLbl>
              <c:idx val="18"/>
              <c:delete val="1"/>
              <c:extLst>
                <c:ext xmlns:c15="http://schemas.microsoft.com/office/drawing/2012/chart" uri="{CE6537A1-D6FC-4f65-9D91-7224C49458BB}"/>
                <c:ext xmlns:c16="http://schemas.microsoft.com/office/drawing/2014/chart" uri="{C3380CC4-5D6E-409C-BE32-E72D297353CC}">
                  <c16:uniqueId val="{00000012-737F-4141-8377-99EBDE85BE8C}"/>
                </c:ext>
              </c:extLst>
            </c:dLbl>
            <c:dLbl>
              <c:idx val="19"/>
              <c:delete val="1"/>
              <c:extLst>
                <c:ext xmlns:c15="http://schemas.microsoft.com/office/drawing/2012/chart" uri="{CE6537A1-D6FC-4f65-9D91-7224C49458BB}"/>
                <c:ext xmlns:c16="http://schemas.microsoft.com/office/drawing/2014/chart" uri="{C3380CC4-5D6E-409C-BE32-E72D297353CC}">
                  <c16:uniqueId val="{00000013-737F-4141-8377-99EBDE85BE8C}"/>
                </c:ext>
              </c:extLst>
            </c:dLbl>
            <c:dLbl>
              <c:idx val="20"/>
              <c:delete val="1"/>
              <c:extLst>
                <c:ext xmlns:c15="http://schemas.microsoft.com/office/drawing/2012/chart" uri="{CE6537A1-D6FC-4f65-9D91-7224C49458BB}"/>
                <c:ext xmlns:c16="http://schemas.microsoft.com/office/drawing/2014/chart" uri="{C3380CC4-5D6E-409C-BE32-E72D297353CC}">
                  <c16:uniqueId val="{00000014-737F-4141-8377-99EBDE85BE8C}"/>
                </c:ext>
              </c:extLst>
            </c:dLbl>
            <c:dLbl>
              <c:idx val="22"/>
              <c:delete val="1"/>
              <c:extLst>
                <c:ext xmlns:c15="http://schemas.microsoft.com/office/drawing/2012/chart" uri="{CE6537A1-D6FC-4f65-9D91-7224C49458BB}"/>
                <c:ext xmlns:c16="http://schemas.microsoft.com/office/drawing/2014/chart" uri="{C3380CC4-5D6E-409C-BE32-E72D297353CC}">
                  <c16:uniqueId val="{00000015-737F-4141-8377-99EBDE85BE8C}"/>
                </c:ext>
              </c:extLst>
            </c:dLbl>
            <c:dLbl>
              <c:idx val="23"/>
              <c:delete val="1"/>
              <c:extLst>
                <c:ext xmlns:c15="http://schemas.microsoft.com/office/drawing/2012/chart" uri="{CE6537A1-D6FC-4f65-9D91-7224C49458BB}"/>
                <c:ext xmlns:c16="http://schemas.microsoft.com/office/drawing/2014/chart" uri="{C3380CC4-5D6E-409C-BE32-E72D297353CC}">
                  <c16:uniqueId val="{00000016-737F-4141-8377-99EBDE85BE8C}"/>
                </c:ext>
              </c:extLst>
            </c:dLbl>
            <c:dLbl>
              <c:idx val="24"/>
              <c:delete val="1"/>
              <c:extLst>
                <c:ext xmlns:c15="http://schemas.microsoft.com/office/drawing/2012/chart" uri="{CE6537A1-D6FC-4f65-9D91-7224C49458BB}"/>
                <c:ext xmlns:c16="http://schemas.microsoft.com/office/drawing/2014/chart" uri="{C3380CC4-5D6E-409C-BE32-E72D297353CC}">
                  <c16:uniqueId val="{00000017-737F-4141-8377-99EBDE85BE8C}"/>
                </c:ext>
              </c:extLst>
            </c:dLbl>
            <c:dLbl>
              <c:idx val="25"/>
              <c:delete val="1"/>
              <c:extLst>
                <c:ext xmlns:c15="http://schemas.microsoft.com/office/drawing/2012/chart" uri="{CE6537A1-D6FC-4f65-9D91-7224C49458BB}"/>
                <c:ext xmlns:c16="http://schemas.microsoft.com/office/drawing/2014/chart" uri="{C3380CC4-5D6E-409C-BE32-E72D297353CC}">
                  <c16:uniqueId val="{00000018-737F-4141-8377-99EBDE85BE8C}"/>
                </c:ext>
              </c:extLst>
            </c:dLbl>
            <c:dLbl>
              <c:idx val="26"/>
              <c:delete val="1"/>
              <c:extLst>
                <c:ext xmlns:c15="http://schemas.microsoft.com/office/drawing/2012/chart" uri="{CE6537A1-D6FC-4f65-9D91-7224C49458BB}"/>
                <c:ext xmlns:c16="http://schemas.microsoft.com/office/drawing/2014/chart" uri="{C3380CC4-5D6E-409C-BE32-E72D297353CC}">
                  <c16:uniqueId val="{00000019-737F-4141-8377-99EBDE85BE8C}"/>
                </c:ext>
              </c:extLst>
            </c:dLbl>
            <c:dLbl>
              <c:idx val="27"/>
              <c:delete val="1"/>
              <c:extLst>
                <c:ext xmlns:c15="http://schemas.microsoft.com/office/drawing/2012/chart" uri="{CE6537A1-D6FC-4f65-9D91-7224C49458BB}"/>
                <c:ext xmlns:c16="http://schemas.microsoft.com/office/drawing/2014/chart" uri="{C3380CC4-5D6E-409C-BE32-E72D297353CC}">
                  <c16:uniqueId val="{0000001A-737F-4141-8377-99EBDE85BE8C}"/>
                </c:ext>
              </c:extLst>
            </c:dLbl>
            <c:dLbl>
              <c:idx val="28"/>
              <c:delete val="1"/>
              <c:extLst>
                <c:ext xmlns:c15="http://schemas.microsoft.com/office/drawing/2012/chart" uri="{CE6537A1-D6FC-4f65-9D91-7224C49458BB}"/>
                <c:ext xmlns:c16="http://schemas.microsoft.com/office/drawing/2014/chart" uri="{C3380CC4-5D6E-409C-BE32-E72D297353CC}">
                  <c16:uniqueId val="{0000001B-737F-4141-8377-99EBDE85BE8C}"/>
                </c:ext>
              </c:extLst>
            </c:dLbl>
            <c:dLbl>
              <c:idx val="29"/>
              <c:delete val="1"/>
              <c:extLst>
                <c:ext xmlns:c15="http://schemas.microsoft.com/office/drawing/2012/chart" uri="{CE6537A1-D6FC-4f65-9D91-7224C49458BB}"/>
                <c:ext xmlns:c16="http://schemas.microsoft.com/office/drawing/2014/chart" uri="{C3380CC4-5D6E-409C-BE32-E72D297353CC}">
                  <c16:uniqueId val="{0000001C-737F-4141-8377-99EBDE85BE8C}"/>
                </c:ext>
              </c:extLst>
            </c:dLbl>
            <c:dLbl>
              <c:idx val="30"/>
              <c:delete val="1"/>
              <c:extLst>
                <c:ext xmlns:c15="http://schemas.microsoft.com/office/drawing/2012/chart" uri="{CE6537A1-D6FC-4f65-9D91-7224C49458BB}"/>
                <c:ext xmlns:c16="http://schemas.microsoft.com/office/drawing/2014/chart" uri="{C3380CC4-5D6E-409C-BE32-E72D297353CC}">
                  <c16:uniqueId val="{0000001D-737F-4141-8377-99EBDE85BE8C}"/>
                </c:ext>
              </c:extLst>
            </c:dLbl>
            <c:dLbl>
              <c:idx val="31"/>
              <c:delete val="1"/>
              <c:extLst>
                <c:ext xmlns:c15="http://schemas.microsoft.com/office/drawing/2012/chart" uri="{CE6537A1-D6FC-4f65-9D91-7224C49458BB}"/>
                <c:ext xmlns:c16="http://schemas.microsoft.com/office/drawing/2014/chart" uri="{C3380CC4-5D6E-409C-BE32-E72D297353CC}">
                  <c16:uniqueId val="{0000001E-737F-4141-8377-99EBDE85BE8C}"/>
                </c:ext>
              </c:extLst>
            </c:dLbl>
            <c:dLbl>
              <c:idx val="32"/>
              <c:delete val="1"/>
              <c:extLst>
                <c:ext xmlns:c15="http://schemas.microsoft.com/office/drawing/2012/chart" uri="{CE6537A1-D6FC-4f65-9D91-7224C49458BB}"/>
                <c:ext xmlns:c16="http://schemas.microsoft.com/office/drawing/2014/chart" uri="{C3380CC4-5D6E-409C-BE32-E72D297353CC}">
                  <c16:uniqueId val="{0000001F-737F-4141-8377-99EBDE85BE8C}"/>
                </c:ext>
              </c:extLst>
            </c:dLbl>
            <c:dLbl>
              <c:idx val="34"/>
              <c:delete val="1"/>
              <c:extLst>
                <c:ext xmlns:c15="http://schemas.microsoft.com/office/drawing/2012/chart" uri="{CE6537A1-D6FC-4f65-9D91-7224C49458BB}"/>
                <c:ext xmlns:c16="http://schemas.microsoft.com/office/drawing/2014/chart" uri="{C3380CC4-5D6E-409C-BE32-E72D297353CC}">
                  <c16:uniqueId val="{00000020-737F-4141-8377-99EBDE85BE8C}"/>
                </c:ext>
              </c:extLst>
            </c:dLbl>
            <c:dLbl>
              <c:idx val="35"/>
              <c:delete val="1"/>
              <c:extLst>
                <c:ext xmlns:c15="http://schemas.microsoft.com/office/drawing/2012/chart" uri="{CE6537A1-D6FC-4f65-9D91-7224C49458BB}"/>
                <c:ext xmlns:c16="http://schemas.microsoft.com/office/drawing/2014/chart" uri="{C3380CC4-5D6E-409C-BE32-E72D297353CC}">
                  <c16:uniqueId val="{00000021-737F-4141-8377-99EBDE85BE8C}"/>
                </c:ext>
              </c:extLst>
            </c:dLbl>
            <c:dLbl>
              <c:idx val="36"/>
              <c:delete val="1"/>
              <c:extLst>
                <c:ext xmlns:c15="http://schemas.microsoft.com/office/drawing/2012/chart" uri="{CE6537A1-D6FC-4f65-9D91-7224C49458BB}"/>
                <c:ext xmlns:c16="http://schemas.microsoft.com/office/drawing/2014/chart" uri="{C3380CC4-5D6E-409C-BE32-E72D297353CC}">
                  <c16:uniqueId val="{00000022-737F-4141-8377-99EBDE85BE8C}"/>
                </c:ext>
              </c:extLst>
            </c:dLbl>
            <c:dLbl>
              <c:idx val="37"/>
              <c:delete val="1"/>
              <c:extLst>
                <c:ext xmlns:c15="http://schemas.microsoft.com/office/drawing/2012/chart" uri="{CE6537A1-D6FC-4f65-9D91-7224C49458BB}"/>
                <c:ext xmlns:c16="http://schemas.microsoft.com/office/drawing/2014/chart" uri="{C3380CC4-5D6E-409C-BE32-E72D297353CC}">
                  <c16:uniqueId val="{00000023-737F-4141-8377-99EBDE85BE8C}"/>
                </c:ext>
              </c:extLst>
            </c:dLbl>
            <c:dLbl>
              <c:idx val="38"/>
              <c:delete val="1"/>
              <c:extLst>
                <c:ext xmlns:c15="http://schemas.microsoft.com/office/drawing/2012/chart" uri="{CE6537A1-D6FC-4f65-9D91-7224C49458BB}"/>
                <c:ext xmlns:c16="http://schemas.microsoft.com/office/drawing/2014/chart" uri="{C3380CC4-5D6E-409C-BE32-E72D297353CC}">
                  <c16:uniqueId val="{00000024-737F-4141-8377-99EBDE85BE8C}"/>
                </c:ext>
              </c:extLst>
            </c:dLbl>
            <c:dLbl>
              <c:idx val="39"/>
              <c:delete val="1"/>
              <c:extLst>
                <c:ext xmlns:c15="http://schemas.microsoft.com/office/drawing/2012/chart" uri="{CE6537A1-D6FC-4f65-9D91-7224C49458BB}"/>
                <c:ext xmlns:c16="http://schemas.microsoft.com/office/drawing/2014/chart" uri="{C3380CC4-5D6E-409C-BE32-E72D297353CC}">
                  <c16:uniqueId val="{00000025-737F-4141-8377-99EBDE85BE8C}"/>
                </c:ext>
              </c:extLst>
            </c:dLbl>
            <c:spPr>
              <a:noFill/>
              <a:ln w="25400">
                <a:noFill/>
              </a:ln>
            </c:spPr>
            <c:txPr>
              <a:bodyPr/>
              <a:lstStyle/>
              <a:p>
                <a:pPr>
                  <a:defRPr lang="es-ES" sz="800" b="0" i="0" u="none" strike="noStrike" baseline="0">
                    <a:solidFill>
                      <a:srgbClr val="FF0000"/>
                    </a:solidFill>
                    <a:latin typeface="Myriad Condensed Web" pitchFamily="34" charset="0"/>
                    <a:ea typeface="Arial"/>
                    <a:cs typeface="Arial"/>
                  </a:defRPr>
                </a:pPr>
                <a:endParaRPr lang="es-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'10_TTIK_2013_cabecera '!$A$83:$A$100</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'10_TTIK_2013_cabecera '!$D$83:$D$100</c:f>
              <c:numCache>
                <c:formatCode>_(* #,##0.00_);_(* \(#,##0.00\);_(* "-"??_);_(@_)</c:formatCode>
                <c:ptCount val="12"/>
                <c:pt idx="0">
                  <c:v>8</c:v>
                </c:pt>
                <c:pt idx="1">
                  <c:v>8</c:v>
                </c:pt>
                <c:pt idx="2">
                  <c:v>8</c:v>
                </c:pt>
                <c:pt idx="3">
                  <c:v>8</c:v>
                </c:pt>
                <c:pt idx="4">
                  <c:v>8</c:v>
                </c:pt>
                <c:pt idx="5">
                  <c:v>8</c:v>
                </c:pt>
                <c:pt idx="6">
                  <c:v>8</c:v>
                </c:pt>
                <c:pt idx="7">
                  <c:v>8</c:v>
                </c:pt>
                <c:pt idx="8">
                  <c:v>8</c:v>
                </c:pt>
                <c:pt idx="9">
                  <c:v>8</c:v>
                </c:pt>
                <c:pt idx="10">
                  <c:v>8</c:v>
                </c:pt>
                <c:pt idx="11">
                  <c:v>8</c:v>
                </c:pt>
              </c:numCache>
            </c:numRef>
          </c:val>
          <c:smooth val="0"/>
          <c:extLst>
            <c:ext xmlns:c16="http://schemas.microsoft.com/office/drawing/2014/chart" uri="{C3380CC4-5D6E-409C-BE32-E72D297353CC}">
              <c16:uniqueId val="{00000026-737F-4141-8377-99EBDE85BE8C}"/>
            </c:ext>
          </c:extLst>
        </c:ser>
        <c:ser>
          <c:idx val="2"/>
          <c:order val="1"/>
          <c:tx>
            <c:strRef>
              <c:f>'10_TTIK_2013_cabecera '!$B$17:$B$18</c:f>
              <c:strCache>
                <c:ptCount val="2"/>
                <c:pt idx="0">
                  <c:v>AÑO MÓVIL </c:v>
                </c:pt>
              </c:strCache>
            </c:strRef>
          </c:tx>
          <c:spPr>
            <a:ln w="22225">
              <a:solidFill>
                <a:schemeClr val="tx2"/>
              </a:solidFill>
              <a:prstDash val="solid"/>
            </a:ln>
          </c:spPr>
          <c:marker>
            <c:symbol val="triangle"/>
            <c:size val="2"/>
            <c:spPr>
              <a:solidFill>
                <a:srgbClr val="0000FF"/>
              </a:solidFill>
              <a:ln>
                <a:solidFill>
                  <a:srgbClr val="0070C0"/>
                </a:solidFill>
                <a:prstDash val="solid"/>
              </a:ln>
            </c:spPr>
          </c:marker>
          <c:dLbls>
            <c:dLbl>
              <c:idx val="0"/>
              <c:layout>
                <c:manualLayout>
                  <c:x val="-3.265272515985141E-2"/>
                  <c:y val="-8.0028560416425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37F-4141-8377-99EBDE85BE8C}"/>
                </c:ext>
              </c:extLst>
            </c:dLbl>
            <c:dLbl>
              <c:idx val="1"/>
              <c:layout>
                <c:manualLayout>
                  <c:x val="-5.9539225445791301E-2"/>
                  <c:y val="3.8208557263675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37F-4141-8377-99EBDE85BE8C}"/>
                </c:ext>
              </c:extLst>
            </c:dLbl>
            <c:dLbl>
              <c:idx val="2"/>
              <c:layout>
                <c:manualLayout>
                  <c:x val="-6.7699677784179416E-2"/>
                  <c:y val="-5.16234051185242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37F-4141-8377-99EBDE85BE8C}"/>
                </c:ext>
              </c:extLst>
            </c:dLbl>
            <c:dLbl>
              <c:idx val="3"/>
              <c:layout>
                <c:manualLayout>
                  <c:x val="-5.0221596846603933E-2"/>
                  <c:y val="-5.684164479440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737F-4141-8377-99EBDE85BE8C}"/>
                </c:ext>
              </c:extLst>
            </c:dLbl>
            <c:dLbl>
              <c:idx val="4"/>
              <c:layout>
                <c:manualLayout>
                  <c:x val="-7.9190733838688382E-2"/>
                  <c:y val="3.443569553805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37F-4141-8377-99EBDE85BE8C}"/>
                </c:ext>
              </c:extLst>
            </c:dLbl>
            <c:dLbl>
              <c:idx val="5"/>
              <c:layout>
                <c:manualLayout>
                  <c:x val="-7.2187709850890278E-2"/>
                  <c:y val="-1.82707786526684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737F-4141-8377-99EBDE85BE8C}"/>
                </c:ext>
              </c:extLst>
            </c:dLbl>
            <c:dLbl>
              <c:idx val="6"/>
              <c:layout>
                <c:manualLayout>
                  <c:x val="-2.9610920604654242E-2"/>
                  <c:y val="-2.2513691335266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37F-4141-8377-99EBDE85BE8C}"/>
                </c:ext>
              </c:extLst>
            </c:dLbl>
            <c:dLbl>
              <c:idx val="7"/>
              <c:layout>
                <c:manualLayout>
                  <c:x val="-8.1809982942640247E-2"/>
                  <c:y val="3.1190885721965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737F-4141-8377-99EBDE85BE8C}"/>
                </c:ext>
              </c:extLst>
            </c:dLbl>
            <c:dLbl>
              <c:idx val="8"/>
              <c:layout>
                <c:manualLayout>
                  <c:x val="-2.3164116680536983E-2"/>
                  <c:y val="-3.0875746209957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37F-4141-8377-99EBDE85BE8C}"/>
                </c:ext>
              </c:extLst>
            </c:dLbl>
            <c:dLbl>
              <c:idx val="9"/>
              <c:layout>
                <c:manualLayout>
                  <c:x val="-6.3983163476820787E-2"/>
                  <c:y val="-5.955141814825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37F-4141-8377-99EBDE85BE8C}"/>
                </c:ext>
              </c:extLst>
            </c:dLbl>
            <c:dLbl>
              <c:idx val="10"/>
              <c:layout>
                <c:manualLayout>
                  <c:x val="-4.9353589957591579E-2"/>
                  <c:y val="-2.8467921674551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737F-4141-8377-99EBDE85BE8C}"/>
                </c:ext>
              </c:extLst>
            </c:dLbl>
            <c:dLbl>
              <c:idx val="11"/>
              <c:layout>
                <c:manualLayout>
                  <c:x val="-7.4442018374440604E-3"/>
                  <c:y val="-5.0268440452457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737F-4141-8377-99EBDE85BE8C}"/>
                </c:ext>
              </c:extLst>
            </c:dLbl>
            <c:dLbl>
              <c:idx val="12"/>
              <c:layout>
                <c:manualLayout>
                  <c:x val="-1.334037223174982E-2"/>
                  <c:y val="2.3503176967743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37F-4141-8377-99EBDE85BE8C}"/>
                </c:ext>
              </c:extLst>
            </c:dLbl>
            <c:dLbl>
              <c:idx val="13"/>
              <c:layout>
                <c:manualLayout>
                  <c:x val="-2.1062274261222751E-3"/>
                  <c:y val="3.2928363957952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37F-4141-8377-99EBDE85BE8C}"/>
                </c:ext>
              </c:extLst>
            </c:dLbl>
            <c:dLbl>
              <c:idx val="14"/>
              <c:layout>
                <c:manualLayout>
                  <c:x val="-7.305732370208616E-2"/>
                  <c:y val="-2.8727345884956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737F-4141-8377-99EBDE85BE8C}"/>
                </c:ext>
              </c:extLst>
            </c:dLbl>
            <c:dLbl>
              <c:idx val="15"/>
              <c:layout>
                <c:manualLayout>
                  <c:x val="-4.5213069910695833E-2"/>
                  <c:y val="2.1159948290045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37F-4141-8377-99EBDE85BE8C}"/>
                </c:ext>
              </c:extLst>
            </c:dLbl>
            <c:dLbl>
              <c:idx val="16"/>
              <c:layout>
                <c:manualLayout>
                  <c:x val="-1.2306832223819853E-2"/>
                  <c:y val="-2.1353860618169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37F-4141-8377-99EBDE85BE8C}"/>
                </c:ext>
              </c:extLst>
            </c:dLbl>
            <c:dLbl>
              <c:idx val="17"/>
              <c:layout>
                <c:manualLayout>
                  <c:x val="-2.8585331143488178E-2"/>
                  <c:y val="2.6389101441052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37F-4141-8377-99EBDE85BE8C}"/>
                </c:ext>
              </c:extLst>
            </c:dLbl>
            <c:dLbl>
              <c:idx val="18"/>
              <c:layout>
                <c:manualLayout>
                  <c:x val="-1.6626163653891957E-2"/>
                  <c:y val="-1.5163094481294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737F-4141-8377-99EBDE85BE8C}"/>
                </c:ext>
              </c:extLst>
            </c:dLbl>
            <c:dLbl>
              <c:idx val="19"/>
              <c:layout>
                <c:manualLayout>
                  <c:x val="-1.8240976964382961E-2"/>
                  <c:y val="1.5837121567804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737F-4141-8377-99EBDE85BE8C}"/>
                </c:ext>
              </c:extLst>
            </c:dLbl>
            <c:dLbl>
              <c:idx val="20"/>
              <c:layout>
                <c:manualLayout>
                  <c:x val="-5.4774039453051718E-2"/>
                  <c:y val="9.03159594847942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737F-4141-8377-99EBDE85BE8C}"/>
                </c:ext>
              </c:extLst>
            </c:dLbl>
            <c:dLbl>
              <c:idx val="21"/>
              <c:layout>
                <c:manualLayout>
                  <c:x val="-5.8278399866550203E-3"/>
                  <c:y val="1.846232717525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737F-4141-8377-99EBDE85BE8C}"/>
                </c:ext>
              </c:extLst>
            </c:dLbl>
            <c:dLbl>
              <c:idx val="22"/>
              <c:layout>
                <c:manualLayout>
                  <c:x val="-1.9603359624794214E-2"/>
                  <c:y val="2.4886905320835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37F-4141-8377-99EBDE85BE8C}"/>
                </c:ext>
              </c:extLst>
            </c:dLbl>
            <c:spPr>
              <a:noFill/>
              <a:ln w="25400">
                <a:noFill/>
              </a:ln>
            </c:spPr>
            <c:txPr>
              <a:bodyPr/>
              <a:lstStyle/>
              <a:p>
                <a:pPr>
                  <a:defRPr lang="es-ES" sz="800" b="0" i="0" u="none" strike="noStrike" baseline="0">
                    <a:solidFill>
                      <a:schemeClr val="tx2">
                        <a:lumMod val="60000"/>
                        <a:lumOff val="40000"/>
                      </a:schemeClr>
                    </a:solidFill>
                    <a:latin typeface="Myriad Condensed Web" pitchFamily="34" charset="0"/>
                    <a:ea typeface="Arial"/>
                    <a:cs typeface="Arial"/>
                  </a:defRPr>
                </a:pPr>
                <a:endParaRPr lang="es-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'10_TTIK_2013_cabecera '!$A$83:$A$100</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'10_TTIK_2013_cabecera '!$B$83:$B$100</c:f>
              <c:numCache>
                <c:formatCode>_(* #,##0.00_);_(* \(#,##0.00\);_(* "-"??_);_(@_)</c:formatCode>
                <c:ptCount val="12"/>
                <c:pt idx="0">
                  <c:v>11.541759237672437</c:v>
                </c:pt>
                <c:pt idx="1">
                  <c:v>10.86068594890283</c:v>
                </c:pt>
                <c:pt idx="2">
                  <c:v>11.256915487951725</c:v>
                </c:pt>
                <c:pt idx="3">
                  <c:v>10.423215453953436</c:v>
                </c:pt>
                <c:pt idx="4">
                  <c:v>10.371714530958222</c:v>
                </c:pt>
                <c:pt idx="5">
                  <c:v>9.7049545188142439</c:v>
                </c:pt>
                <c:pt idx="6">
                  <c:v>9.7865191165921974</c:v>
                </c:pt>
                <c:pt idx="7">
                  <c:v>9.8746494768019879</c:v>
                </c:pt>
                <c:pt idx="8">
                  <c:v>12.023031</c:v>
                </c:pt>
                <c:pt idx="9">
                  <c:v>11.930329</c:v>
                </c:pt>
                <c:pt idx="10">
                  <c:v>10.771116140158041</c:v>
                </c:pt>
                <c:pt idx="11">
                  <c:v>10.287202342824923</c:v>
                </c:pt>
              </c:numCache>
            </c:numRef>
          </c:val>
          <c:smooth val="0"/>
          <c:extLst>
            <c:ext xmlns:c16="http://schemas.microsoft.com/office/drawing/2014/chart" uri="{C3380CC4-5D6E-409C-BE32-E72D297353CC}">
              <c16:uniqueId val="{0000003E-737F-4141-8377-99EBDE85BE8C}"/>
            </c:ext>
          </c:extLst>
        </c:ser>
        <c:ser>
          <c:idx val="0"/>
          <c:order val="2"/>
          <c:tx>
            <c:strRef>
              <c:f>'10_TTIK_2013_cabecera '!$C$17:$C$18</c:f>
              <c:strCache>
                <c:ptCount val="2"/>
                <c:pt idx="0">
                  <c:v>MENSUAL</c:v>
                </c:pt>
              </c:strCache>
            </c:strRef>
          </c:tx>
          <c:spPr>
            <a:ln w="28575">
              <a:solidFill>
                <a:schemeClr val="accent3">
                  <a:lumMod val="75000"/>
                </a:schemeClr>
              </a:solidFill>
            </a:ln>
          </c:spPr>
          <c:marker>
            <c:symbol val="none"/>
          </c:marker>
          <c:dLbls>
            <c:dLbl>
              <c:idx val="0"/>
              <c:layout>
                <c:manualLayout>
                  <c:x val="-3.6535340133126072E-2"/>
                  <c:y val="-5.2337313090038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37F-4141-8377-99EBDE85BE8C}"/>
                </c:ext>
              </c:extLst>
            </c:dLbl>
            <c:dLbl>
              <c:idx val="1"/>
              <c:layout>
                <c:manualLayout>
                  <c:x val="-5.5274386399200015E-2"/>
                  <c:y val="-6.256176311294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737F-4141-8377-99EBDE85BE8C}"/>
                </c:ext>
              </c:extLst>
            </c:dLbl>
            <c:dLbl>
              <c:idx val="2"/>
              <c:layout>
                <c:manualLayout>
                  <c:x val="-5.6502623695580317E-2"/>
                  <c:y val="-5.843459866024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37F-4141-8377-99EBDE85BE8C}"/>
                </c:ext>
              </c:extLst>
            </c:dLbl>
            <c:dLbl>
              <c:idx val="3"/>
              <c:layout>
                <c:manualLayout>
                  <c:x val="-5.7364675620874085E-2"/>
                  <c:y val="-7.8241469816273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737F-4141-8377-99EBDE85BE8C}"/>
                </c:ext>
              </c:extLst>
            </c:dLbl>
            <c:dLbl>
              <c:idx val="4"/>
              <c:layout>
                <c:manualLayout>
                  <c:x val="-5.9956258499005516E-2"/>
                  <c:y val="-6.7082448027329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737F-4141-8377-99EBDE85BE8C}"/>
                </c:ext>
              </c:extLst>
            </c:dLbl>
            <c:dLbl>
              <c:idx val="5"/>
              <c:layout>
                <c:manualLayout>
                  <c:x val="-3.2537118076717629E-2"/>
                  <c:y val="-5.8773070032912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737F-4141-8377-99EBDE85BE8C}"/>
                </c:ext>
              </c:extLst>
            </c:dLbl>
            <c:dLbl>
              <c:idx val="6"/>
              <c:layout>
                <c:manualLayout>
                  <c:x val="7.0118263128834804E-2"/>
                  <c:y val="1.309458158290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737F-4141-8377-99EBDE85BE8C}"/>
                </c:ext>
              </c:extLst>
            </c:dLbl>
            <c:dLbl>
              <c:idx val="7"/>
              <c:layout>
                <c:manualLayout>
                  <c:x val="-7.5680333883765938E-2"/>
                  <c:y val="-3.2747919694622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737F-4141-8377-99EBDE85BE8C}"/>
                </c:ext>
              </c:extLst>
            </c:dLbl>
            <c:dLbl>
              <c:idx val="8"/>
              <c:layout>
                <c:manualLayout>
                  <c:x val="-6.2505662816903521E-2"/>
                  <c:y val="-2.38006101164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37F-4141-8377-99EBDE85BE8C}"/>
                </c:ext>
              </c:extLst>
            </c:dLbl>
            <c:dLbl>
              <c:idx val="9"/>
              <c:layout>
                <c:manualLayout>
                  <c:x val="-4.1754652896872753E-2"/>
                  <c:y val="-2.71147242497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737F-4141-8377-99EBDE85BE8C}"/>
                </c:ext>
              </c:extLst>
            </c:dLbl>
            <c:dLbl>
              <c:idx val="10"/>
              <c:layout>
                <c:manualLayout>
                  <c:x val="-2.6403215418860943E-2"/>
                  <c:y val="-3.250802574627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37F-4141-8377-99EBDE85BE8C}"/>
                </c:ext>
              </c:extLst>
            </c:dLbl>
            <c:dLbl>
              <c:idx val="11"/>
              <c:layout>
                <c:manualLayout>
                  <c:x val="-1.5245387824279397E-2"/>
                  <c:y val="-5.3708732791790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737F-4141-8377-99EBDE85BE8C}"/>
                </c:ext>
              </c:extLst>
            </c:dLbl>
            <c:dLbl>
              <c:idx val="12"/>
              <c:layout>
                <c:manualLayout>
                  <c:x val="-2.0712645610919078E-4"/>
                  <c:y val="1.8174079591402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737F-4141-8377-99EBDE85BE8C}"/>
                </c:ext>
              </c:extLst>
            </c:dLbl>
            <c:dLbl>
              <c:idx val="13"/>
              <c:layout>
                <c:manualLayout>
                  <c:x val="-8.3361399241881767E-3"/>
                  <c:y val="-2.5483976267128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737F-4141-8377-99EBDE85BE8C}"/>
                </c:ext>
              </c:extLst>
            </c:dLbl>
            <c:dLbl>
              <c:idx val="14"/>
              <c:layout>
                <c:manualLayout>
                  <c:x val="-4.4538310027695822E-2"/>
                  <c:y val="5.8249126953565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737F-4141-8377-99EBDE85BE8C}"/>
                </c:ext>
              </c:extLst>
            </c:dLbl>
            <c:dLbl>
              <c:idx val="15"/>
              <c:layout>
                <c:manualLayout>
                  <c:x val="-1.309961691356522E-2"/>
                  <c:y val="-2.089552238805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737F-4141-8377-99EBDE85BE8C}"/>
                </c:ext>
              </c:extLst>
            </c:dLbl>
            <c:dLbl>
              <c:idx val="16"/>
              <c:layout>
                <c:manualLayout>
                  <c:x val="-7.8597701481391523E-3"/>
                  <c:y val="-2.089552238805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737F-4141-8377-99EBDE85BE8C}"/>
                </c:ext>
              </c:extLst>
            </c:dLbl>
            <c:dLbl>
              <c:idx val="19"/>
              <c:layout>
                <c:manualLayout>
                  <c:x val="1.2413176994636269E-2"/>
                  <c:y val="-9.0680107949789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37F-4141-8377-99EBDE85BE8C}"/>
                </c:ext>
              </c:extLst>
            </c:dLbl>
            <c:dLbl>
              <c:idx val="20"/>
              <c:layout>
                <c:manualLayout>
                  <c:x val="-8.6892238962454002E-2"/>
                  <c:y val="6.6113176866909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737F-4141-8377-99EBDE85BE8C}"/>
                </c:ext>
              </c:extLst>
            </c:dLbl>
            <c:dLbl>
              <c:idx val="21"/>
              <c:layout>
                <c:manualLayout>
                  <c:x val="-4.1377256648787563E-3"/>
                  <c:y val="1.0958906473715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737F-4141-8377-99EBDE85BE8C}"/>
                </c:ext>
              </c:extLst>
            </c:dLbl>
            <c:spPr>
              <a:noFill/>
              <a:ln>
                <a:noFill/>
              </a:ln>
              <a:effectLst/>
            </c:spPr>
            <c:txPr>
              <a:bodyPr/>
              <a:lstStyle/>
              <a:p>
                <a:pPr>
                  <a:defRPr lang="es-ES" sz="800">
                    <a:solidFill>
                      <a:schemeClr val="accent3">
                        <a:lumMod val="50000"/>
                      </a:schemeClr>
                    </a:solidFill>
                  </a:defRPr>
                </a:pPr>
                <a:endParaRPr lang="es-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'10_TTIK_2013_cabecera '!$A$83:$A$100</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'10_TTIK_2013_cabecera '!$C$83:$C$100</c:f>
              <c:numCache>
                <c:formatCode>_(* #,##0.00_);_(* \(#,##0.00\);_(* "-"??_);_(@_)</c:formatCode>
                <c:ptCount val="12"/>
                <c:pt idx="0">
                  <c:v>2.0411906639465163</c:v>
                </c:pt>
                <c:pt idx="1">
                  <c:v>0.20536617962351661</c:v>
                </c:pt>
                <c:pt idx="2">
                  <c:v>1.6346919353264282</c:v>
                </c:pt>
                <c:pt idx="3">
                  <c:v>0.2947039341871584</c:v>
                </c:pt>
                <c:pt idx="4">
                  <c:v>0.77018124888867878</c:v>
                </c:pt>
                <c:pt idx="5">
                  <c:v>0.19105935218190556</c:v>
                </c:pt>
                <c:pt idx="6">
                  <c:v>0.26442667316659746</c:v>
                </c:pt>
                <c:pt idx="7">
                  <c:v>0.60631883468409487</c:v>
                </c:pt>
                <c:pt idx="8">
                  <c:v>2.82622675</c:v>
                </c:pt>
                <c:pt idx="9">
                  <c:v>0.87515107000000003</c:v>
                </c:pt>
                <c:pt idx="10">
                  <c:v>0.466294426471069</c:v>
                </c:pt>
                <c:pt idx="11">
                  <c:v>0.11159127625201938</c:v>
                </c:pt>
              </c:numCache>
            </c:numRef>
          </c:val>
          <c:smooth val="0"/>
          <c:extLst>
            <c:ext xmlns:c16="http://schemas.microsoft.com/office/drawing/2014/chart" uri="{C3380CC4-5D6E-409C-BE32-E72D297353CC}">
              <c16:uniqueId val="{00000053-737F-4141-8377-99EBDE85BE8C}"/>
            </c:ext>
          </c:extLst>
        </c:ser>
        <c:dLbls>
          <c:showLegendKey val="0"/>
          <c:showVal val="1"/>
          <c:showCatName val="0"/>
          <c:showSerName val="0"/>
          <c:showPercent val="0"/>
          <c:showBubbleSize val="0"/>
        </c:dLbls>
        <c:smooth val="0"/>
        <c:axId val="-942211488"/>
        <c:axId val="-942200608"/>
      </c:lineChart>
      <c:catAx>
        <c:axId val="-942211488"/>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lang="es-ES" sz="700" b="0" i="0" u="none" strike="noStrike" baseline="0">
                <a:solidFill>
                  <a:srgbClr val="000000"/>
                </a:solidFill>
                <a:latin typeface="Myriad Condensed Web" pitchFamily="34" charset="0"/>
                <a:ea typeface="Arial"/>
                <a:cs typeface="Arial"/>
              </a:defRPr>
            </a:pPr>
            <a:endParaRPr lang="es-US"/>
          </a:p>
        </c:txPr>
        <c:crossAx val="-942200608"/>
        <c:crosses val="autoZero"/>
        <c:auto val="0"/>
        <c:lblAlgn val="ctr"/>
        <c:lblOffset val="100"/>
        <c:tickLblSkip val="1"/>
        <c:tickMarkSkip val="1"/>
        <c:noMultiLvlLbl val="0"/>
      </c:catAx>
      <c:valAx>
        <c:axId val="-942200608"/>
        <c:scaling>
          <c:orientation val="minMax"/>
          <c:max val="22"/>
          <c:min val="0"/>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lang="es-ES" sz="700" b="0" i="0" u="none" strike="noStrike" baseline="0">
                <a:solidFill>
                  <a:srgbClr val="000000"/>
                </a:solidFill>
                <a:latin typeface="Myriad Condensed Web" pitchFamily="34" charset="0"/>
                <a:ea typeface="Arial"/>
                <a:cs typeface="Arial"/>
              </a:defRPr>
            </a:pPr>
            <a:endParaRPr lang="es-US"/>
          </a:p>
        </c:txPr>
        <c:crossAx val="-942211488"/>
        <c:crosses val="autoZero"/>
        <c:crossBetween val="between"/>
        <c:majorUnit val="2"/>
      </c:valAx>
      <c:spPr>
        <a:solidFill>
          <a:srgbClr val="FFFFFF"/>
        </a:solidFill>
        <a:ln w="12700">
          <a:solidFill>
            <a:srgbClr val="808080"/>
          </a:solidFill>
          <a:prstDash val="solid"/>
        </a:ln>
      </c:spPr>
    </c:plotArea>
    <c:legend>
      <c:legendPos val="b"/>
      <c:legendEntry>
        <c:idx val="0"/>
        <c:txPr>
          <a:bodyPr/>
          <a:lstStyle/>
          <a:p>
            <a:pPr>
              <a:defRPr sz="600" b="0" i="0" u="none" strike="noStrike" baseline="0">
                <a:solidFill>
                  <a:schemeClr val="tx2">
                    <a:lumMod val="75000"/>
                  </a:schemeClr>
                </a:solidFill>
                <a:latin typeface="Myriad Condensed Web" pitchFamily="34" charset="0"/>
                <a:ea typeface="Arial"/>
                <a:cs typeface="Arial"/>
              </a:defRPr>
            </a:pPr>
            <a:endParaRPr lang="es-US"/>
          </a:p>
        </c:txPr>
      </c:legendEntry>
      <c:legendEntry>
        <c:idx val="1"/>
        <c:txPr>
          <a:bodyPr/>
          <a:lstStyle/>
          <a:p>
            <a:pPr>
              <a:defRPr sz="600" b="0" i="0" u="none" strike="noStrike" baseline="0">
                <a:solidFill>
                  <a:schemeClr val="tx2">
                    <a:lumMod val="75000"/>
                  </a:schemeClr>
                </a:solidFill>
                <a:latin typeface="Myriad Condensed Web" pitchFamily="34" charset="0"/>
                <a:ea typeface="Arial"/>
                <a:cs typeface="Arial"/>
              </a:defRPr>
            </a:pPr>
            <a:endParaRPr lang="es-US"/>
          </a:p>
        </c:txPr>
      </c:legendEntry>
      <c:legendEntry>
        <c:idx val="2"/>
        <c:txPr>
          <a:bodyPr/>
          <a:lstStyle/>
          <a:p>
            <a:pPr>
              <a:defRPr sz="600" b="0" i="0" u="none" strike="noStrike" baseline="0">
                <a:solidFill>
                  <a:schemeClr val="tx2">
                    <a:lumMod val="75000"/>
                  </a:schemeClr>
                </a:solidFill>
                <a:latin typeface="Myriad Condensed Web" pitchFamily="34" charset="0"/>
                <a:ea typeface="Arial"/>
                <a:cs typeface="Arial"/>
              </a:defRPr>
            </a:pPr>
            <a:endParaRPr lang="es-US"/>
          </a:p>
        </c:txPr>
      </c:legendEntry>
      <c:layout>
        <c:manualLayout>
          <c:xMode val="edge"/>
          <c:yMode val="edge"/>
          <c:x val="0"/>
          <c:y val="0.89000487490058133"/>
          <c:w val="1"/>
          <c:h val="0.10999512509942252"/>
        </c:manualLayout>
      </c:layout>
      <c:overlay val="0"/>
      <c:spPr>
        <a:solidFill>
          <a:srgbClr val="FFFFFF"/>
        </a:solidFill>
        <a:ln w="3175">
          <a:noFill/>
          <a:prstDash val="solid"/>
        </a:ln>
      </c:spPr>
      <c:txPr>
        <a:bodyPr/>
        <a:lstStyle/>
        <a:p>
          <a:pPr>
            <a:defRPr lang="es-ES" sz="600" b="0" i="0" u="none" strike="noStrike" baseline="0">
              <a:solidFill>
                <a:schemeClr val="tx2">
                  <a:lumMod val="75000"/>
                </a:schemeClr>
              </a:solidFill>
              <a:latin typeface="Myriad Condensed Web" pitchFamily="34" charset="0"/>
              <a:ea typeface="Arial"/>
              <a:cs typeface="Arial"/>
            </a:defRPr>
          </a:pPr>
          <a:endParaRPr lang="es-US"/>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Arial"/>
          <a:ea typeface="Arial"/>
          <a:cs typeface="Arial"/>
        </a:defRPr>
      </a:pPr>
      <a:endParaRPr lang="es-US"/>
    </a:p>
  </c:txPr>
  <c:printSettings>
    <c:headerFooter alignWithMargins="0"/>
    <c:pageMargins b="1" l="0.75000000000000344" r="0.75000000000000344" t="1" header="0" footer="0"/>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b="1"/>
            </a:pPr>
            <a:r>
              <a:rPr lang="es-MX" sz="1200" b="1"/>
              <a:t>INDICADOR FMIK</a:t>
            </a:r>
          </a:p>
        </c:rich>
      </c:tx>
      <c:overlay val="0"/>
    </c:title>
    <c:autoTitleDeleted val="0"/>
    <c:plotArea>
      <c:layout>
        <c:manualLayout>
          <c:layoutTarget val="inner"/>
          <c:xMode val="edge"/>
          <c:yMode val="edge"/>
          <c:x val="3.4496106019534442E-2"/>
          <c:y val="0.15503086824061638"/>
          <c:w val="0.96276198019731729"/>
          <c:h val="0.59045473786157332"/>
        </c:manualLayout>
      </c:layout>
      <c:lineChart>
        <c:grouping val="standard"/>
        <c:varyColors val="0"/>
        <c:ser>
          <c:idx val="9"/>
          <c:order val="0"/>
          <c:tx>
            <c:strRef>
              <c:f>'11_FMIK_2013_cabecera '!$D$17</c:f>
              <c:strCache>
                <c:ptCount val="1"/>
                <c:pt idx="0">
                  <c:v>META MEER ELECGALAPAGOS 
AÑO MÓVIL</c:v>
                </c:pt>
              </c:strCache>
            </c:strRef>
          </c:tx>
          <c:spPr>
            <a:ln w="25400">
              <a:solidFill>
                <a:srgbClr val="FF0000"/>
              </a:solidFill>
              <a:prstDash val="solid"/>
            </a:ln>
          </c:spPr>
          <c:marker>
            <c:symbol val="none"/>
          </c:marker>
          <c:dLbls>
            <c:dLbl>
              <c:idx val="0"/>
              <c:layout>
                <c:manualLayout>
                  <c:x val="-6.545983453229319E-2"/>
                  <c:y val="-2.9205214900040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C4-4057-A53E-19728DEF55E9}"/>
                </c:ext>
              </c:extLst>
            </c:dLbl>
            <c:dLbl>
              <c:idx val="1"/>
              <c:delete val="1"/>
              <c:extLst>
                <c:ext xmlns:c15="http://schemas.microsoft.com/office/drawing/2012/chart" uri="{CE6537A1-D6FC-4f65-9D91-7224C49458BB}"/>
                <c:ext xmlns:c16="http://schemas.microsoft.com/office/drawing/2014/chart" uri="{C3380CC4-5D6E-409C-BE32-E72D297353CC}">
                  <c16:uniqueId val="{00000001-91C4-4057-A53E-19728DEF55E9}"/>
                </c:ext>
              </c:extLst>
            </c:dLbl>
            <c:dLbl>
              <c:idx val="2"/>
              <c:delete val="1"/>
              <c:extLst>
                <c:ext xmlns:c15="http://schemas.microsoft.com/office/drawing/2012/chart" uri="{CE6537A1-D6FC-4f65-9D91-7224C49458BB}"/>
                <c:ext xmlns:c16="http://schemas.microsoft.com/office/drawing/2014/chart" uri="{C3380CC4-5D6E-409C-BE32-E72D297353CC}">
                  <c16:uniqueId val="{00000002-91C4-4057-A53E-19728DEF55E9}"/>
                </c:ext>
              </c:extLst>
            </c:dLbl>
            <c:dLbl>
              <c:idx val="3"/>
              <c:delete val="1"/>
              <c:extLst>
                <c:ext xmlns:c15="http://schemas.microsoft.com/office/drawing/2012/chart" uri="{CE6537A1-D6FC-4f65-9D91-7224C49458BB}"/>
                <c:ext xmlns:c16="http://schemas.microsoft.com/office/drawing/2014/chart" uri="{C3380CC4-5D6E-409C-BE32-E72D297353CC}">
                  <c16:uniqueId val="{00000003-91C4-4057-A53E-19728DEF55E9}"/>
                </c:ext>
              </c:extLst>
            </c:dLbl>
            <c:dLbl>
              <c:idx val="4"/>
              <c:delete val="1"/>
              <c:extLst>
                <c:ext xmlns:c15="http://schemas.microsoft.com/office/drawing/2012/chart" uri="{CE6537A1-D6FC-4f65-9D91-7224C49458BB}"/>
                <c:ext xmlns:c16="http://schemas.microsoft.com/office/drawing/2014/chart" uri="{C3380CC4-5D6E-409C-BE32-E72D297353CC}">
                  <c16:uniqueId val="{00000004-91C4-4057-A53E-19728DEF55E9}"/>
                </c:ext>
              </c:extLst>
            </c:dLbl>
            <c:dLbl>
              <c:idx val="5"/>
              <c:delete val="1"/>
              <c:extLst>
                <c:ext xmlns:c15="http://schemas.microsoft.com/office/drawing/2012/chart" uri="{CE6537A1-D6FC-4f65-9D91-7224C49458BB}"/>
                <c:ext xmlns:c16="http://schemas.microsoft.com/office/drawing/2014/chart" uri="{C3380CC4-5D6E-409C-BE32-E72D297353CC}">
                  <c16:uniqueId val="{00000005-91C4-4057-A53E-19728DEF55E9}"/>
                </c:ext>
              </c:extLst>
            </c:dLbl>
            <c:dLbl>
              <c:idx val="6"/>
              <c:delete val="1"/>
              <c:extLst>
                <c:ext xmlns:c15="http://schemas.microsoft.com/office/drawing/2012/chart" uri="{CE6537A1-D6FC-4f65-9D91-7224C49458BB}"/>
                <c:ext xmlns:c16="http://schemas.microsoft.com/office/drawing/2014/chart" uri="{C3380CC4-5D6E-409C-BE32-E72D297353CC}">
                  <c16:uniqueId val="{00000006-91C4-4057-A53E-19728DEF55E9}"/>
                </c:ext>
              </c:extLst>
            </c:dLbl>
            <c:dLbl>
              <c:idx val="7"/>
              <c:delete val="1"/>
              <c:extLst>
                <c:ext xmlns:c15="http://schemas.microsoft.com/office/drawing/2012/chart" uri="{CE6537A1-D6FC-4f65-9D91-7224C49458BB}"/>
                <c:ext xmlns:c16="http://schemas.microsoft.com/office/drawing/2014/chart" uri="{C3380CC4-5D6E-409C-BE32-E72D297353CC}">
                  <c16:uniqueId val="{00000007-91C4-4057-A53E-19728DEF55E9}"/>
                </c:ext>
              </c:extLst>
            </c:dLbl>
            <c:dLbl>
              <c:idx val="8"/>
              <c:layout>
                <c:manualLayout>
                  <c:x val="0.17270389324863269"/>
                  <c:y val="-3.9269712534441802E-2"/>
                </c:manualLayout>
              </c:layout>
              <c:tx>
                <c:rich>
                  <a:bodyPr/>
                  <a:lstStyle/>
                  <a:p>
                    <a:fld id="{625FE7EF-7BE1-4BF0-8F44-5120C1DAEC36}" type="CELLREF">
                      <a:rPr lang="en-US" baseline="0"/>
                      <a:pPr/>
                      <a:t>[CELLREF]</a:t>
                    </a:fld>
                    <a:endParaRPr lang="es-US"/>
                  </a:p>
                </c:rich>
              </c:tx>
              <c:dLblPos val="r"/>
              <c:showLegendKey val="0"/>
              <c:showVal val="1"/>
              <c:showCatName val="1"/>
              <c:showSerName val="0"/>
              <c:showPercent val="0"/>
              <c:showBubbleSize val="0"/>
              <c:extLst>
                <c:ext xmlns:c15="http://schemas.microsoft.com/office/drawing/2012/chart" uri="{CE6537A1-D6FC-4f65-9D91-7224C49458BB}">
                  <c15:dlblFieldTable>
                    <c15:dlblFTEntry>
                      <c15:txfldGUID>{625FE7EF-7BE1-4BF0-8F44-5120C1DAEC36}</c15:txfldGUID>
                      <c15:f>'11_FMIK_2013_cabecera '!$D$68</c15:f>
                      <c15:dlblFieldTableCache>
                        <c:ptCount val="1"/>
                        <c:pt idx="0">
                          <c:v> 4.00 </c:v>
                        </c:pt>
                      </c15:dlblFieldTableCache>
                    </c15:dlblFTEntry>
                  </c15:dlblFieldTable>
                  <c15:showDataLabelsRange val="0"/>
                </c:ext>
                <c:ext xmlns:c16="http://schemas.microsoft.com/office/drawing/2014/chart" uri="{C3380CC4-5D6E-409C-BE32-E72D297353CC}">
                  <c16:uniqueId val="{00000008-91C4-4057-A53E-19728DEF55E9}"/>
                </c:ext>
              </c:extLst>
            </c:dLbl>
            <c:dLbl>
              <c:idx val="9"/>
              <c:delete val="1"/>
              <c:extLst>
                <c:ext xmlns:c15="http://schemas.microsoft.com/office/drawing/2012/chart" uri="{CE6537A1-D6FC-4f65-9D91-7224C49458BB}"/>
                <c:ext xmlns:c16="http://schemas.microsoft.com/office/drawing/2014/chart" uri="{C3380CC4-5D6E-409C-BE32-E72D297353CC}">
                  <c16:uniqueId val="{00000009-91C4-4057-A53E-19728DEF55E9}"/>
                </c:ext>
              </c:extLst>
            </c:dLbl>
            <c:dLbl>
              <c:idx val="10"/>
              <c:delete val="1"/>
              <c:extLst>
                <c:ext xmlns:c15="http://schemas.microsoft.com/office/drawing/2012/chart" uri="{CE6537A1-D6FC-4f65-9D91-7224C49458BB}"/>
                <c:ext xmlns:c16="http://schemas.microsoft.com/office/drawing/2014/chart" uri="{C3380CC4-5D6E-409C-BE32-E72D297353CC}">
                  <c16:uniqueId val="{0000000A-91C4-4057-A53E-19728DEF55E9}"/>
                </c:ext>
              </c:extLst>
            </c:dLbl>
            <c:dLbl>
              <c:idx val="11"/>
              <c:delete val="1"/>
              <c:extLst>
                <c:ext xmlns:c15="http://schemas.microsoft.com/office/drawing/2012/chart" uri="{CE6537A1-D6FC-4f65-9D91-7224C49458BB}"/>
                <c:ext xmlns:c16="http://schemas.microsoft.com/office/drawing/2014/chart" uri="{C3380CC4-5D6E-409C-BE32-E72D297353CC}">
                  <c16:uniqueId val="{0000000B-91C4-4057-A53E-19728DEF55E9}"/>
                </c:ext>
              </c:extLst>
            </c:dLbl>
            <c:dLbl>
              <c:idx val="12"/>
              <c:delete val="1"/>
              <c:extLst>
                <c:ext xmlns:c15="http://schemas.microsoft.com/office/drawing/2012/chart" uri="{CE6537A1-D6FC-4f65-9D91-7224C49458BB}"/>
                <c:ext xmlns:c16="http://schemas.microsoft.com/office/drawing/2014/chart" uri="{C3380CC4-5D6E-409C-BE32-E72D297353CC}">
                  <c16:uniqueId val="{0000000C-91C4-4057-A53E-19728DEF55E9}"/>
                </c:ext>
              </c:extLst>
            </c:dLbl>
            <c:dLbl>
              <c:idx val="13"/>
              <c:delete val="1"/>
              <c:extLst>
                <c:ext xmlns:c15="http://schemas.microsoft.com/office/drawing/2012/chart" uri="{CE6537A1-D6FC-4f65-9D91-7224C49458BB}"/>
                <c:ext xmlns:c16="http://schemas.microsoft.com/office/drawing/2014/chart" uri="{C3380CC4-5D6E-409C-BE32-E72D297353CC}">
                  <c16:uniqueId val="{0000000D-91C4-4057-A53E-19728DEF55E9}"/>
                </c:ext>
              </c:extLst>
            </c:dLbl>
            <c:dLbl>
              <c:idx val="14"/>
              <c:delete val="1"/>
              <c:extLst>
                <c:ext xmlns:c15="http://schemas.microsoft.com/office/drawing/2012/chart" uri="{CE6537A1-D6FC-4f65-9D91-7224C49458BB}"/>
                <c:ext xmlns:c16="http://schemas.microsoft.com/office/drawing/2014/chart" uri="{C3380CC4-5D6E-409C-BE32-E72D297353CC}">
                  <c16:uniqueId val="{0000000E-91C4-4057-A53E-19728DEF55E9}"/>
                </c:ext>
              </c:extLst>
            </c:dLbl>
            <c:dLbl>
              <c:idx val="15"/>
              <c:delete val="1"/>
              <c:extLst>
                <c:ext xmlns:c15="http://schemas.microsoft.com/office/drawing/2012/chart" uri="{CE6537A1-D6FC-4f65-9D91-7224C49458BB}"/>
                <c:ext xmlns:c16="http://schemas.microsoft.com/office/drawing/2014/chart" uri="{C3380CC4-5D6E-409C-BE32-E72D297353CC}">
                  <c16:uniqueId val="{0000000F-91C4-4057-A53E-19728DEF55E9}"/>
                </c:ext>
              </c:extLst>
            </c:dLbl>
            <c:dLbl>
              <c:idx val="16"/>
              <c:delete val="1"/>
              <c:extLst>
                <c:ext xmlns:c15="http://schemas.microsoft.com/office/drawing/2012/chart" uri="{CE6537A1-D6FC-4f65-9D91-7224C49458BB}"/>
                <c:ext xmlns:c16="http://schemas.microsoft.com/office/drawing/2014/chart" uri="{C3380CC4-5D6E-409C-BE32-E72D297353CC}">
                  <c16:uniqueId val="{00000010-91C4-4057-A53E-19728DEF55E9}"/>
                </c:ext>
              </c:extLst>
            </c:dLbl>
            <c:dLbl>
              <c:idx val="17"/>
              <c:delete val="1"/>
              <c:extLst>
                <c:ext xmlns:c15="http://schemas.microsoft.com/office/drawing/2012/chart" uri="{CE6537A1-D6FC-4f65-9D91-7224C49458BB}"/>
                <c:ext xmlns:c16="http://schemas.microsoft.com/office/drawing/2014/chart" uri="{C3380CC4-5D6E-409C-BE32-E72D297353CC}">
                  <c16:uniqueId val="{00000011-91C4-4057-A53E-19728DEF55E9}"/>
                </c:ext>
              </c:extLst>
            </c:dLbl>
            <c:dLbl>
              <c:idx val="18"/>
              <c:delete val="1"/>
              <c:extLst>
                <c:ext xmlns:c15="http://schemas.microsoft.com/office/drawing/2012/chart" uri="{CE6537A1-D6FC-4f65-9D91-7224C49458BB}"/>
                <c:ext xmlns:c16="http://schemas.microsoft.com/office/drawing/2014/chart" uri="{C3380CC4-5D6E-409C-BE32-E72D297353CC}">
                  <c16:uniqueId val="{00000012-91C4-4057-A53E-19728DEF55E9}"/>
                </c:ext>
              </c:extLst>
            </c:dLbl>
            <c:dLbl>
              <c:idx val="19"/>
              <c:delete val="1"/>
              <c:extLst>
                <c:ext xmlns:c15="http://schemas.microsoft.com/office/drawing/2012/chart" uri="{CE6537A1-D6FC-4f65-9D91-7224C49458BB}"/>
                <c:ext xmlns:c16="http://schemas.microsoft.com/office/drawing/2014/chart" uri="{C3380CC4-5D6E-409C-BE32-E72D297353CC}">
                  <c16:uniqueId val="{00000013-91C4-4057-A53E-19728DEF55E9}"/>
                </c:ext>
              </c:extLst>
            </c:dLbl>
            <c:dLbl>
              <c:idx val="20"/>
              <c:delete val="1"/>
              <c:extLst>
                <c:ext xmlns:c15="http://schemas.microsoft.com/office/drawing/2012/chart" uri="{CE6537A1-D6FC-4f65-9D91-7224C49458BB}"/>
                <c:ext xmlns:c16="http://schemas.microsoft.com/office/drawing/2014/chart" uri="{C3380CC4-5D6E-409C-BE32-E72D297353CC}">
                  <c16:uniqueId val="{00000014-91C4-4057-A53E-19728DEF55E9}"/>
                </c:ext>
              </c:extLst>
            </c:dLbl>
            <c:dLbl>
              <c:idx val="21"/>
              <c:layout>
                <c:manualLayout>
                  <c:x val="-7.202099737532862E-3"/>
                  <c:y val="-2.290217187054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1C4-4057-A53E-19728DEF55E9}"/>
                </c:ext>
              </c:extLst>
            </c:dLbl>
            <c:dLbl>
              <c:idx val="22"/>
              <c:delete val="1"/>
              <c:extLst>
                <c:ext xmlns:c15="http://schemas.microsoft.com/office/drawing/2012/chart" uri="{CE6537A1-D6FC-4f65-9D91-7224C49458BB}"/>
                <c:ext xmlns:c16="http://schemas.microsoft.com/office/drawing/2014/chart" uri="{C3380CC4-5D6E-409C-BE32-E72D297353CC}">
                  <c16:uniqueId val="{00000016-91C4-4057-A53E-19728DEF55E9}"/>
                </c:ext>
              </c:extLst>
            </c:dLbl>
            <c:dLbl>
              <c:idx val="23"/>
              <c:delete val="1"/>
              <c:extLst>
                <c:ext xmlns:c15="http://schemas.microsoft.com/office/drawing/2012/chart" uri="{CE6537A1-D6FC-4f65-9D91-7224C49458BB}"/>
                <c:ext xmlns:c16="http://schemas.microsoft.com/office/drawing/2014/chart" uri="{C3380CC4-5D6E-409C-BE32-E72D297353CC}">
                  <c16:uniqueId val="{00000017-91C4-4057-A53E-19728DEF55E9}"/>
                </c:ext>
              </c:extLst>
            </c:dLbl>
            <c:dLbl>
              <c:idx val="24"/>
              <c:delete val="1"/>
              <c:extLst>
                <c:ext xmlns:c15="http://schemas.microsoft.com/office/drawing/2012/chart" uri="{CE6537A1-D6FC-4f65-9D91-7224C49458BB}"/>
                <c:ext xmlns:c16="http://schemas.microsoft.com/office/drawing/2014/chart" uri="{C3380CC4-5D6E-409C-BE32-E72D297353CC}">
                  <c16:uniqueId val="{00000018-91C4-4057-A53E-19728DEF55E9}"/>
                </c:ext>
              </c:extLst>
            </c:dLbl>
            <c:dLbl>
              <c:idx val="25"/>
              <c:delete val="1"/>
              <c:extLst>
                <c:ext xmlns:c15="http://schemas.microsoft.com/office/drawing/2012/chart" uri="{CE6537A1-D6FC-4f65-9D91-7224C49458BB}"/>
                <c:ext xmlns:c16="http://schemas.microsoft.com/office/drawing/2014/chart" uri="{C3380CC4-5D6E-409C-BE32-E72D297353CC}">
                  <c16:uniqueId val="{00000019-91C4-4057-A53E-19728DEF55E9}"/>
                </c:ext>
              </c:extLst>
            </c:dLbl>
            <c:dLbl>
              <c:idx val="26"/>
              <c:delete val="1"/>
              <c:extLst>
                <c:ext xmlns:c15="http://schemas.microsoft.com/office/drawing/2012/chart" uri="{CE6537A1-D6FC-4f65-9D91-7224C49458BB}"/>
                <c:ext xmlns:c16="http://schemas.microsoft.com/office/drawing/2014/chart" uri="{C3380CC4-5D6E-409C-BE32-E72D297353CC}">
                  <c16:uniqueId val="{0000001A-91C4-4057-A53E-19728DEF55E9}"/>
                </c:ext>
              </c:extLst>
            </c:dLbl>
            <c:dLbl>
              <c:idx val="27"/>
              <c:delete val="1"/>
              <c:extLst>
                <c:ext xmlns:c15="http://schemas.microsoft.com/office/drawing/2012/chart" uri="{CE6537A1-D6FC-4f65-9D91-7224C49458BB}"/>
                <c:ext xmlns:c16="http://schemas.microsoft.com/office/drawing/2014/chart" uri="{C3380CC4-5D6E-409C-BE32-E72D297353CC}">
                  <c16:uniqueId val="{0000001B-91C4-4057-A53E-19728DEF55E9}"/>
                </c:ext>
              </c:extLst>
            </c:dLbl>
            <c:dLbl>
              <c:idx val="28"/>
              <c:delete val="1"/>
              <c:extLst>
                <c:ext xmlns:c15="http://schemas.microsoft.com/office/drawing/2012/chart" uri="{CE6537A1-D6FC-4f65-9D91-7224C49458BB}"/>
                <c:ext xmlns:c16="http://schemas.microsoft.com/office/drawing/2014/chart" uri="{C3380CC4-5D6E-409C-BE32-E72D297353CC}">
                  <c16:uniqueId val="{0000001C-91C4-4057-A53E-19728DEF55E9}"/>
                </c:ext>
              </c:extLst>
            </c:dLbl>
            <c:dLbl>
              <c:idx val="29"/>
              <c:delete val="1"/>
              <c:extLst>
                <c:ext xmlns:c15="http://schemas.microsoft.com/office/drawing/2012/chart" uri="{CE6537A1-D6FC-4f65-9D91-7224C49458BB}"/>
                <c:ext xmlns:c16="http://schemas.microsoft.com/office/drawing/2014/chart" uri="{C3380CC4-5D6E-409C-BE32-E72D297353CC}">
                  <c16:uniqueId val="{0000001D-91C4-4057-A53E-19728DEF55E9}"/>
                </c:ext>
              </c:extLst>
            </c:dLbl>
            <c:dLbl>
              <c:idx val="30"/>
              <c:delete val="1"/>
              <c:extLst>
                <c:ext xmlns:c15="http://schemas.microsoft.com/office/drawing/2012/chart" uri="{CE6537A1-D6FC-4f65-9D91-7224C49458BB}"/>
                <c:ext xmlns:c16="http://schemas.microsoft.com/office/drawing/2014/chart" uri="{C3380CC4-5D6E-409C-BE32-E72D297353CC}">
                  <c16:uniqueId val="{0000001E-91C4-4057-A53E-19728DEF55E9}"/>
                </c:ext>
              </c:extLst>
            </c:dLbl>
            <c:dLbl>
              <c:idx val="31"/>
              <c:delete val="1"/>
              <c:extLst>
                <c:ext xmlns:c15="http://schemas.microsoft.com/office/drawing/2012/chart" uri="{CE6537A1-D6FC-4f65-9D91-7224C49458BB}"/>
                <c:ext xmlns:c16="http://schemas.microsoft.com/office/drawing/2014/chart" uri="{C3380CC4-5D6E-409C-BE32-E72D297353CC}">
                  <c16:uniqueId val="{0000001F-91C4-4057-A53E-19728DEF55E9}"/>
                </c:ext>
              </c:extLst>
            </c:dLbl>
            <c:dLbl>
              <c:idx val="32"/>
              <c:delete val="1"/>
              <c:extLst>
                <c:ext xmlns:c15="http://schemas.microsoft.com/office/drawing/2012/chart" uri="{CE6537A1-D6FC-4f65-9D91-7224C49458BB}"/>
                <c:ext xmlns:c16="http://schemas.microsoft.com/office/drawing/2014/chart" uri="{C3380CC4-5D6E-409C-BE32-E72D297353CC}">
                  <c16:uniqueId val="{00000020-91C4-4057-A53E-19728DEF55E9}"/>
                </c:ext>
              </c:extLst>
            </c:dLbl>
            <c:dLbl>
              <c:idx val="34"/>
              <c:delete val="1"/>
              <c:extLst>
                <c:ext xmlns:c15="http://schemas.microsoft.com/office/drawing/2012/chart" uri="{CE6537A1-D6FC-4f65-9D91-7224C49458BB}"/>
                <c:ext xmlns:c16="http://schemas.microsoft.com/office/drawing/2014/chart" uri="{C3380CC4-5D6E-409C-BE32-E72D297353CC}">
                  <c16:uniqueId val="{00000021-91C4-4057-A53E-19728DEF55E9}"/>
                </c:ext>
              </c:extLst>
            </c:dLbl>
            <c:dLbl>
              <c:idx val="35"/>
              <c:delete val="1"/>
              <c:extLst>
                <c:ext xmlns:c15="http://schemas.microsoft.com/office/drawing/2012/chart" uri="{CE6537A1-D6FC-4f65-9D91-7224C49458BB}"/>
                <c:ext xmlns:c16="http://schemas.microsoft.com/office/drawing/2014/chart" uri="{C3380CC4-5D6E-409C-BE32-E72D297353CC}">
                  <c16:uniqueId val="{00000022-91C4-4057-A53E-19728DEF55E9}"/>
                </c:ext>
              </c:extLst>
            </c:dLbl>
            <c:dLbl>
              <c:idx val="36"/>
              <c:delete val="1"/>
              <c:extLst>
                <c:ext xmlns:c15="http://schemas.microsoft.com/office/drawing/2012/chart" uri="{CE6537A1-D6FC-4f65-9D91-7224C49458BB}"/>
                <c:ext xmlns:c16="http://schemas.microsoft.com/office/drawing/2014/chart" uri="{C3380CC4-5D6E-409C-BE32-E72D297353CC}">
                  <c16:uniqueId val="{00000023-91C4-4057-A53E-19728DEF55E9}"/>
                </c:ext>
              </c:extLst>
            </c:dLbl>
            <c:dLbl>
              <c:idx val="37"/>
              <c:delete val="1"/>
              <c:extLst>
                <c:ext xmlns:c15="http://schemas.microsoft.com/office/drawing/2012/chart" uri="{CE6537A1-D6FC-4f65-9D91-7224C49458BB}"/>
                <c:ext xmlns:c16="http://schemas.microsoft.com/office/drawing/2014/chart" uri="{C3380CC4-5D6E-409C-BE32-E72D297353CC}">
                  <c16:uniqueId val="{00000024-91C4-4057-A53E-19728DEF55E9}"/>
                </c:ext>
              </c:extLst>
            </c:dLbl>
            <c:dLbl>
              <c:idx val="38"/>
              <c:delete val="1"/>
              <c:extLst>
                <c:ext xmlns:c15="http://schemas.microsoft.com/office/drawing/2012/chart" uri="{CE6537A1-D6FC-4f65-9D91-7224C49458BB}"/>
                <c:ext xmlns:c16="http://schemas.microsoft.com/office/drawing/2014/chart" uri="{C3380CC4-5D6E-409C-BE32-E72D297353CC}">
                  <c16:uniqueId val="{00000025-91C4-4057-A53E-19728DEF55E9}"/>
                </c:ext>
              </c:extLst>
            </c:dLbl>
            <c:dLbl>
              <c:idx val="39"/>
              <c:delete val="1"/>
              <c:extLst>
                <c:ext xmlns:c15="http://schemas.microsoft.com/office/drawing/2012/chart" uri="{CE6537A1-D6FC-4f65-9D91-7224C49458BB}"/>
                <c:ext xmlns:c16="http://schemas.microsoft.com/office/drawing/2014/chart" uri="{C3380CC4-5D6E-409C-BE32-E72D297353CC}">
                  <c16:uniqueId val="{00000026-91C4-4057-A53E-19728DEF55E9}"/>
                </c:ext>
              </c:extLst>
            </c:dLbl>
            <c:spPr>
              <a:noFill/>
              <a:ln w="25400">
                <a:noFill/>
              </a:ln>
            </c:spPr>
            <c:txPr>
              <a:bodyPr/>
              <a:lstStyle/>
              <a:p>
                <a:pPr>
                  <a:defRPr lang="es-ES" sz="800" b="0" i="0" u="none" strike="noStrike" baseline="0">
                    <a:solidFill>
                      <a:srgbClr val="FF0000"/>
                    </a:solidFill>
                    <a:latin typeface="Myriad Condensed Web" pitchFamily="34" charset="0"/>
                    <a:ea typeface="Arial"/>
                    <a:cs typeface="Arial"/>
                  </a:defRPr>
                </a:pPr>
                <a:endParaRPr lang="es-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'11_FMIK_2013_cabecera '!$A$83:$A$100</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'11_FMIK_2013_cabecera '!$D$83:$D$100</c:f>
              <c:numCache>
                <c:formatCode>_(* #,##0.00_);_(* \(#,##0.00\);_(* "-"??_);_(@_)</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27-91C4-4057-A53E-19728DEF55E9}"/>
            </c:ext>
          </c:extLst>
        </c:ser>
        <c:ser>
          <c:idx val="2"/>
          <c:order val="1"/>
          <c:tx>
            <c:strRef>
              <c:f>'11_FMIK_2013_cabecera '!$B$17</c:f>
              <c:strCache>
                <c:ptCount val="1"/>
                <c:pt idx="0">
                  <c:v>AÑO MÓVIL </c:v>
                </c:pt>
              </c:strCache>
            </c:strRef>
          </c:tx>
          <c:spPr>
            <a:ln w="25400">
              <a:solidFill>
                <a:srgbClr val="0000FF"/>
              </a:solidFill>
              <a:prstDash val="solid"/>
            </a:ln>
          </c:spPr>
          <c:marker>
            <c:symbol val="triangle"/>
            <c:size val="2"/>
            <c:spPr>
              <a:solidFill>
                <a:srgbClr val="0000FF"/>
              </a:solidFill>
              <a:ln>
                <a:solidFill>
                  <a:srgbClr val="0000FF"/>
                </a:solidFill>
                <a:prstDash val="solid"/>
              </a:ln>
            </c:spPr>
          </c:marker>
          <c:dLbls>
            <c:dLbl>
              <c:idx val="0"/>
              <c:layout>
                <c:manualLayout>
                  <c:x val="-4.9209919178730729E-2"/>
                  <c:y val="3.60558843029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1C4-4057-A53E-19728DEF55E9}"/>
                </c:ext>
              </c:extLst>
            </c:dLbl>
            <c:dLbl>
              <c:idx val="1"/>
              <c:layout>
                <c:manualLayout>
                  <c:x val="-6.2290405631260794E-2"/>
                  <c:y val="2.1426968073914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1C4-4057-A53E-19728DEF55E9}"/>
                </c:ext>
              </c:extLst>
            </c:dLbl>
            <c:dLbl>
              <c:idx val="2"/>
              <c:layout>
                <c:manualLayout>
                  <c:x val="-5.3166459534438978E-2"/>
                  <c:y val="5.9210789302944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1C4-4057-A53E-19728DEF55E9}"/>
                </c:ext>
              </c:extLst>
            </c:dLbl>
            <c:dLbl>
              <c:idx val="3"/>
              <c:layout>
                <c:manualLayout>
                  <c:x val="-4.3914634257611974E-2"/>
                  <c:y val="-5.6820933223373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1C4-4057-A53E-19728DEF55E9}"/>
                </c:ext>
              </c:extLst>
            </c:dLbl>
            <c:dLbl>
              <c:idx val="4"/>
              <c:layout>
                <c:manualLayout>
                  <c:x val="-4.4663038807324071E-2"/>
                  <c:y val="3.204181633826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1C4-4057-A53E-19728DEF55E9}"/>
                </c:ext>
              </c:extLst>
            </c:dLbl>
            <c:dLbl>
              <c:idx val="5"/>
              <c:layout>
                <c:manualLayout>
                  <c:x val="-3.8604366828164635E-2"/>
                  <c:y val="-3.6274097449552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1C4-4057-A53E-19728DEF55E9}"/>
                </c:ext>
              </c:extLst>
            </c:dLbl>
            <c:dLbl>
              <c:idx val="6"/>
              <c:layout>
                <c:manualLayout>
                  <c:x val="-2.4408928389153216E-2"/>
                  <c:y val="-3.0336996992296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1C4-4057-A53E-19728DEF55E9}"/>
                </c:ext>
              </c:extLst>
            </c:dLbl>
            <c:dLbl>
              <c:idx val="7"/>
              <c:layout>
                <c:manualLayout>
                  <c:x val="-2.8185065628851411E-2"/>
                  <c:y val="-4.0880382280264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1C4-4057-A53E-19728DEF55E9}"/>
                </c:ext>
              </c:extLst>
            </c:dLbl>
            <c:dLbl>
              <c:idx val="8"/>
              <c:layout>
                <c:manualLayout>
                  <c:x val="-4.1017803732182417E-2"/>
                  <c:y val="-3.9537956885852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1C4-4057-A53E-19728DEF55E9}"/>
                </c:ext>
              </c:extLst>
            </c:dLbl>
            <c:dLbl>
              <c:idx val="9"/>
              <c:layout>
                <c:manualLayout>
                  <c:x val="-6.0805793756913702E-2"/>
                  <c:y val="-4.8330458870489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1C4-4057-A53E-19728DEF55E9}"/>
                </c:ext>
              </c:extLst>
            </c:dLbl>
            <c:dLbl>
              <c:idx val="10"/>
              <c:layout>
                <c:manualLayout>
                  <c:x val="-5.0059793574681793E-2"/>
                  <c:y val="-5.7330509185236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1C4-4057-A53E-19728DEF55E9}"/>
                </c:ext>
              </c:extLst>
            </c:dLbl>
            <c:dLbl>
              <c:idx val="11"/>
              <c:layout>
                <c:manualLayout>
                  <c:x val="-1.8533674446561976E-3"/>
                  <c:y val="-2.2608951642728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1C4-4057-A53E-19728DEF55E9}"/>
                </c:ext>
              </c:extLst>
            </c:dLbl>
            <c:dLbl>
              <c:idx val="12"/>
              <c:layout>
                <c:manualLayout>
                  <c:x val="-9.2338609603053012E-2"/>
                  <c:y val="-9.809509255385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1C4-4057-A53E-19728DEF55E9}"/>
                </c:ext>
              </c:extLst>
            </c:dLbl>
            <c:dLbl>
              <c:idx val="13"/>
              <c:layout>
                <c:manualLayout>
                  <c:x val="-1.100940718967189E-2"/>
                  <c:y val="2.2409288660056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1C4-4057-A53E-19728DEF55E9}"/>
                </c:ext>
              </c:extLst>
            </c:dLbl>
            <c:dLbl>
              <c:idx val="14"/>
              <c:layout>
                <c:manualLayout>
                  <c:x val="-1.9438981480314496E-3"/>
                  <c:y val="1.8163389251034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1C4-4057-A53E-19728DEF55E9}"/>
                </c:ext>
              </c:extLst>
            </c:dLbl>
            <c:dLbl>
              <c:idx val="15"/>
              <c:layout>
                <c:manualLayout>
                  <c:x val="-9.7493616005929519E-3"/>
                  <c:y val="-1.539665285837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1C4-4057-A53E-19728DEF55E9}"/>
                </c:ext>
              </c:extLst>
            </c:dLbl>
            <c:dLbl>
              <c:idx val="16"/>
              <c:layout>
                <c:manualLayout>
                  <c:x val="-1.3114754098360751E-2"/>
                  <c:y val="-1.5888622963036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1C4-4057-A53E-19728DEF55E9}"/>
                </c:ext>
              </c:extLst>
            </c:dLbl>
            <c:dLbl>
              <c:idx val="17"/>
              <c:layout>
                <c:manualLayout>
                  <c:x val="-2.1857923497267812E-2"/>
                  <c:y val="-1.8475750577367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1C4-4057-A53E-19728DEF55E9}"/>
                </c:ext>
              </c:extLst>
            </c:dLbl>
            <c:dLbl>
              <c:idx val="18"/>
              <c:layout>
                <c:manualLayout>
                  <c:x val="-5.6830601092896602E-2"/>
                  <c:y val="1.0861659490650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1C4-4057-A53E-19728DEF55E9}"/>
                </c:ext>
              </c:extLst>
            </c:dLbl>
            <c:dLbl>
              <c:idx val="19"/>
              <c:layout>
                <c:manualLayout>
                  <c:x val="-3.9344262295081971E-2"/>
                  <c:y val="-3.67963985604166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1C4-4057-A53E-19728DEF55E9}"/>
                </c:ext>
              </c:extLst>
            </c:dLbl>
            <c:dLbl>
              <c:idx val="20"/>
              <c:layout>
                <c:manualLayout>
                  <c:x val="-3.0601092896175106E-2"/>
                  <c:y val="-2.57730087761659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1C4-4057-A53E-19728DEF55E9}"/>
                </c:ext>
              </c:extLst>
            </c:dLbl>
            <c:dLbl>
              <c:idx val="21"/>
              <c:layout>
                <c:manualLayout>
                  <c:x val="-2.185792349726795E-3"/>
                  <c:y val="-1.53964588144726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1C4-4057-A53E-19728DEF55E9}"/>
                </c:ext>
              </c:extLst>
            </c:dLbl>
            <c:spPr>
              <a:noFill/>
              <a:ln w="25400">
                <a:noFill/>
              </a:ln>
            </c:spPr>
            <c:txPr>
              <a:bodyPr/>
              <a:lstStyle/>
              <a:p>
                <a:pPr>
                  <a:defRPr lang="es-ES" sz="800" b="0" i="0" u="none" strike="noStrike" baseline="0">
                    <a:solidFill>
                      <a:sysClr val="windowText" lastClr="000000"/>
                    </a:solidFill>
                    <a:latin typeface="Myriad Condensed Web" pitchFamily="34" charset="0"/>
                    <a:ea typeface="Arial"/>
                    <a:cs typeface="Arial"/>
                  </a:defRPr>
                </a:pPr>
                <a:endParaRPr lang="es-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'11_FMIK_2013_cabecera '!$A$83:$A$100</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'11_FMIK_2013_cabecera '!$B$83:$B$100</c:f>
              <c:numCache>
                <c:formatCode>_(* #,##0.00_);_(* \(#,##0.00\);_(* "-"??_);_(@_)</c:formatCode>
                <c:ptCount val="12"/>
                <c:pt idx="0">
                  <c:v>12.185808465861342</c:v>
                </c:pt>
                <c:pt idx="1">
                  <c:v>11.016174100904879</c:v>
                </c:pt>
                <c:pt idx="2">
                  <c:v>10.546310175557226</c:v>
                </c:pt>
                <c:pt idx="3">
                  <c:v>9.508295321242473</c:v>
                </c:pt>
                <c:pt idx="4">
                  <c:v>9.4927354893136702</c:v>
                </c:pt>
                <c:pt idx="5">
                  <c:v>7.9139285181588175</c:v>
                </c:pt>
                <c:pt idx="6">
                  <c:v>8.0293050047360293</c:v>
                </c:pt>
                <c:pt idx="7">
                  <c:v>7.7915413071250335</c:v>
                </c:pt>
                <c:pt idx="8">
                  <c:v>8.0265640000000005</c:v>
                </c:pt>
                <c:pt idx="9">
                  <c:v>7.2988410000000004</c:v>
                </c:pt>
                <c:pt idx="10">
                  <c:v>6.3859850672912444</c:v>
                </c:pt>
                <c:pt idx="11">
                  <c:v>5.7871767291379541</c:v>
                </c:pt>
              </c:numCache>
            </c:numRef>
          </c:val>
          <c:smooth val="0"/>
          <c:extLst>
            <c:ext xmlns:c16="http://schemas.microsoft.com/office/drawing/2014/chart" uri="{C3380CC4-5D6E-409C-BE32-E72D297353CC}">
              <c16:uniqueId val="{0000003E-91C4-4057-A53E-19728DEF55E9}"/>
            </c:ext>
          </c:extLst>
        </c:ser>
        <c:ser>
          <c:idx val="0"/>
          <c:order val="2"/>
          <c:tx>
            <c:strRef>
              <c:f>'11_FMIK_2013_cabecera '!$C$17:$C$18</c:f>
              <c:strCache>
                <c:ptCount val="2"/>
                <c:pt idx="0">
                  <c:v>MENSUAL</c:v>
                </c:pt>
              </c:strCache>
            </c:strRef>
          </c:tx>
          <c:spPr>
            <a:ln w="22225">
              <a:solidFill>
                <a:srgbClr val="00B050"/>
              </a:solidFill>
            </a:ln>
          </c:spPr>
          <c:marker>
            <c:symbol val="square"/>
            <c:size val="3"/>
          </c:marker>
          <c:dLbls>
            <c:dLbl>
              <c:idx val="0"/>
              <c:layout>
                <c:manualLayout>
                  <c:x val="-3.8665429329636194E-2"/>
                  <c:y val="-3.3490403859700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1C4-4057-A53E-19728DEF55E9}"/>
                </c:ext>
              </c:extLst>
            </c:dLbl>
            <c:dLbl>
              <c:idx val="1"/>
              <c:layout>
                <c:manualLayout>
                  <c:x val="-4.8037643281803301E-2"/>
                  <c:y val="-3.7654674305956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91C4-4057-A53E-19728DEF55E9}"/>
                </c:ext>
              </c:extLst>
            </c:dLbl>
            <c:dLbl>
              <c:idx val="2"/>
              <c:layout>
                <c:manualLayout>
                  <c:x val="-4.3816220141008888E-2"/>
                  <c:y val="-4.7389153817771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91C4-4057-A53E-19728DEF55E9}"/>
                </c:ext>
              </c:extLst>
            </c:dLbl>
            <c:dLbl>
              <c:idx val="3"/>
              <c:layout>
                <c:manualLayout>
                  <c:x val="-1.2894906511927788E-2"/>
                  <c:y val="-3.2820502218291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91C4-4057-A53E-19728DEF55E9}"/>
                </c:ext>
              </c:extLst>
            </c:dLbl>
            <c:dLbl>
              <c:idx val="4"/>
              <c:layout>
                <c:manualLayout>
                  <c:x val="-2.3194996049951067E-2"/>
                  <c:y val="-1.7749924527879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91C4-4057-A53E-19728DEF55E9}"/>
                </c:ext>
              </c:extLst>
            </c:dLbl>
            <c:dLbl>
              <c:idx val="5"/>
              <c:layout>
                <c:manualLayout>
                  <c:x val="-2.5774044210920641E-2"/>
                  <c:y val="-3.3825136688395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91C4-4057-A53E-19728DEF55E9}"/>
                </c:ext>
              </c:extLst>
            </c:dLbl>
            <c:dLbl>
              <c:idx val="6"/>
              <c:layout>
                <c:manualLayout>
                  <c:x val="-2.3202098629668856E-2"/>
                  <c:y val="-2.4615441595760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91C4-4057-A53E-19728DEF55E9}"/>
                </c:ext>
              </c:extLst>
            </c:dLbl>
            <c:dLbl>
              <c:idx val="7"/>
              <c:layout>
                <c:manualLayout>
                  <c:x val="-2.5942273884808752E-2"/>
                  <c:y val="-3.4878951105247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91C4-4057-A53E-19728DEF55E9}"/>
                </c:ext>
              </c:extLst>
            </c:dLbl>
            <c:dLbl>
              <c:idx val="8"/>
              <c:layout>
                <c:manualLayout>
                  <c:x val="-3.8684719535783271E-2"/>
                  <c:y val="-2.6143784122334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91C4-4057-A53E-19728DEF55E9}"/>
                </c:ext>
              </c:extLst>
            </c:dLbl>
            <c:dLbl>
              <c:idx val="9"/>
              <c:layout>
                <c:manualLayout>
                  <c:x val="-4.6409270530564796E-2"/>
                  <c:y val="-4.6867837136755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91C4-4057-A53E-19728DEF55E9}"/>
                </c:ext>
              </c:extLst>
            </c:dLbl>
            <c:dLbl>
              <c:idx val="10"/>
              <c:layout>
                <c:manualLayout>
                  <c:x val="-4.6416373110282572E-2"/>
                  <c:y val="-3.7357651195813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91C4-4057-A53E-19728DEF55E9}"/>
                </c:ext>
              </c:extLst>
            </c:dLbl>
            <c:dLbl>
              <c:idx val="11"/>
              <c:layout>
                <c:manualLayout>
                  <c:x val="-2.5869822365047698E-2"/>
                  <c:y val="-3.306504080273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91C4-4057-A53E-19728DEF55E9}"/>
                </c:ext>
              </c:extLst>
            </c:dLbl>
            <c:dLbl>
              <c:idx val="12"/>
              <c:layout>
                <c:manualLayout>
                  <c:x val="-4.9063403105694514E-2"/>
                  <c:y val="-1.6307582245216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91C4-4057-A53E-19728DEF55E9}"/>
                </c:ext>
              </c:extLst>
            </c:dLbl>
            <c:dLbl>
              <c:idx val="13"/>
              <c:layout>
                <c:manualLayout>
                  <c:x val="-2.5475938793621008E-3"/>
                  <c:y val="-2.041524712357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91C4-4057-A53E-19728DEF55E9}"/>
                </c:ext>
              </c:extLst>
            </c:dLbl>
            <c:dLbl>
              <c:idx val="14"/>
              <c:layout>
                <c:manualLayout>
                  <c:x val="-2.5332477329658891E-3"/>
                  <c:y val="-2.1021042143467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91C4-4057-A53E-19728DEF55E9}"/>
                </c:ext>
              </c:extLst>
            </c:dLbl>
            <c:dLbl>
              <c:idx val="15"/>
              <c:layout>
                <c:manualLayout>
                  <c:x val="-2.5789813023855846E-3"/>
                  <c:y val="2.7027020636300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91C4-4057-A53E-19728DEF55E9}"/>
                </c:ext>
              </c:extLst>
            </c:dLbl>
            <c:dLbl>
              <c:idx val="19"/>
              <c:layout>
                <c:manualLayout>
                  <c:x val="-6.3387978142076584E-2"/>
                  <c:y val="1.4587888698314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91C4-4057-A53E-19728DEF55E9}"/>
                </c:ext>
              </c:extLst>
            </c:dLbl>
            <c:dLbl>
              <c:idx val="20"/>
              <c:layout>
                <c:manualLayout>
                  <c:x val="-3.2786885245901641E-2"/>
                  <c:y val="-2.512608760176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91C4-4057-A53E-19728DEF55E9}"/>
                </c:ext>
              </c:extLst>
            </c:dLbl>
            <c:dLbl>
              <c:idx val="21"/>
              <c:layout>
                <c:manualLayout>
                  <c:x val="-2.185792349726795E-3"/>
                  <c:y val="2.4634334103156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91C4-4057-A53E-19728DEF55E9}"/>
                </c:ext>
              </c:extLst>
            </c:dLbl>
            <c:spPr>
              <a:noFill/>
              <a:ln>
                <a:noFill/>
              </a:ln>
              <a:effectLst/>
            </c:spPr>
            <c:txPr>
              <a:bodyPr/>
              <a:lstStyle/>
              <a:p>
                <a:pPr>
                  <a:defRPr lang="es-ES" sz="800" baseline="0">
                    <a:solidFill>
                      <a:srgbClr val="00B050"/>
                    </a:solidFill>
                  </a:defRPr>
                </a:pPr>
                <a:endParaRPr lang="es-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'11_FMIK_2013_cabecera '!$A$83:$A$100</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'11_FMIK_2013_cabecera '!$C$83:$C$100</c:f>
              <c:numCache>
                <c:formatCode>_(* #,##0.00_);_(* \(#,##0.00\);_(* "-"??_);_(@_)</c:formatCode>
                <c:ptCount val="12"/>
                <c:pt idx="0">
                  <c:v>0.62624767240945456</c:v>
                </c:pt>
                <c:pt idx="1">
                  <c:v>0.52301588632970419</c:v>
                </c:pt>
                <c:pt idx="2">
                  <c:v>0.748978076615056</c:v>
                </c:pt>
                <c:pt idx="3">
                  <c:v>0.28613020555258944</c:v>
                </c:pt>
                <c:pt idx="4">
                  <c:v>0.5003545448478377</c:v>
                </c:pt>
                <c:pt idx="5">
                  <c:v>0.28336892685531234</c:v>
                </c:pt>
                <c:pt idx="6">
                  <c:v>0.42899092365189534</c:v>
                </c:pt>
                <c:pt idx="7">
                  <c:v>0.30776132607752144</c:v>
                </c:pt>
                <c:pt idx="8">
                  <c:v>1.34098838</c:v>
                </c:pt>
                <c:pt idx="9">
                  <c:v>0.39142156</c:v>
                </c:pt>
                <c:pt idx="10">
                  <c:v>0.33132067851373181</c:v>
                </c:pt>
                <c:pt idx="11">
                  <c:v>1.8598546042003231E-2</c:v>
                </c:pt>
              </c:numCache>
            </c:numRef>
          </c:val>
          <c:smooth val="0"/>
          <c:extLst>
            <c:ext xmlns:c16="http://schemas.microsoft.com/office/drawing/2014/chart" uri="{C3380CC4-5D6E-409C-BE32-E72D297353CC}">
              <c16:uniqueId val="{00000052-91C4-4057-A53E-19728DEF55E9}"/>
            </c:ext>
          </c:extLst>
        </c:ser>
        <c:dLbls>
          <c:showLegendKey val="0"/>
          <c:showVal val="1"/>
          <c:showCatName val="0"/>
          <c:showSerName val="0"/>
          <c:showPercent val="0"/>
          <c:showBubbleSize val="0"/>
        </c:dLbls>
        <c:smooth val="0"/>
        <c:axId val="-942203872"/>
        <c:axId val="-942202240"/>
      </c:lineChart>
      <c:catAx>
        <c:axId val="-942203872"/>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lang="es-ES" sz="700" b="0" i="0" u="none" strike="noStrike" baseline="0">
                <a:solidFill>
                  <a:srgbClr val="000000"/>
                </a:solidFill>
                <a:latin typeface="Myriad Condensed Web" pitchFamily="34" charset="0"/>
                <a:ea typeface="Arial"/>
                <a:cs typeface="Arial"/>
              </a:defRPr>
            </a:pPr>
            <a:endParaRPr lang="es-US"/>
          </a:p>
        </c:txPr>
        <c:crossAx val="-942202240"/>
        <c:crosses val="autoZero"/>
        <c:auto val="0"/>
        <c:lblAlgn val="ctr"/>
        <c:lblOffset val="100"/>
        <c:tickMarkSkip val="2"/>
        <c:noMultiLvlLbl val="0"/>
      </c:catAx>
      <c:valAx>
        <c:axId val="-942202240"/>
        <c:scaling>
          <c:orientation val="minMax"/>
          <c:max val="17"/>
          <c:min val="0"/>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lang="es-ES" sz="700" b="0" i="0" u="none" strike="noStrike" baseline="0">
                <a:solidFill>
                  <a:srgbClr val="000000"/>
                </a:solidFill>
                <a:latin typeface="Myriad Condensed Web" pitchFamily="34" charset="0"/>
                <a:ea typeface="Arial"/>
                <a:cs typeface="Arial"/>
              </a:defRPr>
            </a:pPr>
            <a:endParaRPr lang="es-US"/>
          </a:p>
        </c:txPr>
        <c:crossAx val="-942203872"/>
        <c:crosses val="autoZero"/>
        <c:crossBetween val="between"/>
        <c:majorUnit val="2"/>
        <c:minorUnit val="0.2"/>
      </c:valAx>
      <c:spPr>
        <a:solidFill>
          <a:srgbClr val="FFFFFF"/>
        </a:solidFill>
        <a:ln w="12700">
          <a:solidFill>
            <a:srgbClr val="808080"/>
          </a:solidFill>
          <a:prstDash val="solid"/>
        </a:ln>
      </c:spPr>
    </c:plotArea>
    <c:legend>
      <c:legendPos val="b"/>
      <c:layout>
        <c:manualLayout>
          <c:xMode val="edge"/>
          <c:yMode val="edge"/>
          <c:x val="0"/>
          <c:y val="0.90604775899931067"/>
          <c:w val="1"/>
          <c:h val="8.9935443981743565E-2"/>
        </c:manualLayout>
      </c:layout>
      <c:overlay val="0"/>
      <c:spPr>
        <a:solidFill>
          <a:srgbClr val="FFFFFF"/>
        </a:solidFill>
        <a:ln w="3175">
          <a:noFill/>
          <a:prstDash val="solid"/>
        </a:ln>
      </c:spPr>
      <c:txPr>
        <a:bodyPr/>
        <a:lstStyle/>
        <a:p>
          <a:pPr>
            <a:defRPr lang="es-ES" sz="700" b="0" i="0" u="none" strike="noStrike" baseline="0">
              <a:solidFill>
                <a:schemeClr val="tx2">
                  <a:lumMod val="75000"/>
                </a:schemeClr>
              </a:solidFill>
              <a:latin typeface="Myriad Condensed Web" pitchFamily="34" charset="0"/>
              <a:ea typeface="Arial"/>
              <a:cs typeface="Arial"/>
            </a:defRPr>
          </a:pPr>
          <a:endParaRPr lang="es-US"/>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Arial"/>
          <a:ea typeface="Arial"/>
          <a:cs typeface="Arial"/>
        </a:defRPr>
      </a:pPr>
      <a:endParaRPr lang="es-US"/>
    </a:p>
  </c:txPr>
  <c:printSettings>
    <c:headerFooter alignWithMargins="0"/>
    <c:pageMargins b="1" l="0.75000000000000344" r="0.75000000000000344" t="1" header="0" footer="0"/>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200"/>
              <a:t>CONTADORES</a:t>
            </a:r>
            <a:r>
              <a:rPr lang="es-EC" sz="1200" baseline="0"/>
              <a:t> DE ENERGÍA INSTALADOS</a:t>
            </a:r>
            <a:endParaRPr lang="es-EC" sz="1200"/>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'12_# MEDIDORES '!$B$11</c:f>
              <c:strCache>
                <c:ptCount val="1"/>
                <c:pt idx="0">
                  <c:v>110 
V</c:v>
                </c:pt>
              </c:strCache>
            </c:strRef>
          </c:tx>
          <c:invertIfNegative val="0"/>
          <c:cat>
            <c:numRef>
              <c:f>'12_# MEDIDORES '!$A$91:$A$110</c:f>
              <c:numCache>
                <c:formatCode>mmm\-yy</c:formatCode>
                <c:ptCount val="8"/>
                <c:pt idx="0">
                  <c:v>43101</c:v>
                </c:pt>
                <c:pt idx="1">
                  <c:v>43132</c:v>
                </c:pt>
                <c:pt idx="2">
                  <c:v>43160</c:v>
                </c:pt>
                <c:pt idx="3">
                  <c:v>43191</c:v>
                </c:pt>
                <c:pt idx="4">
                  <c:v>43221</c:v>
                </c:pt>
                <c:pt idx="5">
                  <c:v>43252</c:v>
                </c:pt>
                <c:pt idx="6">
                  <c:v>43282</c:v>
                </c:pt>
                <c:pt idx="7">
                  <c:v>43313</c:v>
                </c:pt>
              </c:numCache>
            </c:numRef>
          </c:cat>
          <c:val>
            <c:numRef>
              <c:f>'12_# MEDIDORES '!$B$103:$B$110</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8B0-404E-BD66-0A5C34DE01CB}"/>
            </c:ext>
          </c:extLst>
        </c:ser>
        <c:ser>
          <c:idx val="1"/>
          <c:order val="1"/>
          <c:tx>
            <c:strRef>
              <c:f>'12_# MEDIDORES '!$C$11</c:f>
              <c:strCache>
                <c:ptCount val="1"/>
                <c:pt idx="0">
                  <c:v>220-240
V</c:v>
                </c:pt>
              </c:strCache>
            </c:strRef>
          </c:tx>
          <c:invertIfNegative val="0"/>
          <c:cat>
            <c:numRef>
              <c:f>'12_# MEDIDORES '!$A$91:$A$110</c:f>
              <c:numCache>
                <c:formatCode>mmm\-yy</c:formatCode>
                <c:ptCount val="8"/>
                <c:pt idx="0">
                  <c:v>43101</c:v>
                </c:pt>
                <c:pt idx="1">
                  <c:v>43132</c:v>
                </c:pt>
                <c:pt idx="2">
                  <c:v>43160</c:v>
                </c:pt>
                <c:pt idx="3">
                  <c:v>43191</c:v>
                </c:pt>
                <c:pt idx="4">
                  <c:v>43221</c:v>
                </c:pt>
                <c:pt idx="5">
                  <c:v>43252</c:v>
                </c:pt>
                <c:pt idx="6">
                  <c:v>43282</c:v>
                </c:pt>
                <c:pt idx="7">
                  <c:v>43313</c:v>
                </c:pt>
              </c:numCache>
            </c:numRef>
          </c:cat>
          <c:val>
            <c:numRef>
              <c:f>'12_# MEDIDORES '!$C$91:$C$110</c:f>
              <c:numCache>
                <c:formatCode>General</c:formatCode>
                <c:ptCount val="8"/>
                <c:pt idx="0">
                  <c:v>81</c:v>
                </c:pt>
                <c:pt idx="1">
                  <c:v>66</c:v>
                </c:pt>
                <c:pt idx="2">
                  <c:v>63</c:v>
                </c:pt>
                <c:pt idx="3">
                  <c:v>70</c:v>
                </c:pt>
                <c:pt idx="4">
                  <c:v>53</c:v>
                </c:pt>
                <c:pt idx="5">
                  <c:v>78</c:v>
                </c:pt>
                <c:pt idx="6">
                  <c:v>75</c:v>
                </c:pt>
                <c:pt idx="7">
                  <c:v>85</c:v>
                </c:pt>
              </c:numCache>
            </c:numRef>
          </c:val>
          <c:extLst>
            <c:ext xmlns:c16="http://schemas.microsoft.com/office/drawing/2014/chart" uri="{C3380CC4-5D6E-409C-BE32-E72D297353CC}">
              <c16:uniqueId val="{00000001-D8B0-404E-BD66-0A5C34DE01CB}"/>
            </c:ext>
          </c:extLst>
        </c:ser>
        <c:ser>
          <c:idx val="2"/>
          <c:order val="2"/>
          <c:tx>
            <c:strRef>
              <c:f>'12_# MEDIDORES '!$D$11</c:f>
              <c:strCache>
                <c:ptCount val="1"/>
                <c:pt idx="0">
                  <c:v>3F</c:v>
                </c:pt>
              </c:strCache>
            </c:strRef>
          </c:tx>
          <c:invertIfNegative val="0"/>
          <c:cat>
            <c:numRef>
              <c:f>'12_# MEDIDORES '!$A$91:$A$110</c:f>
              <c:numCache>
                <c:formatCode>mmm\-yy</c:formatCode>
                <c:ptCount val="8"/>
                <c:pt idx="0">
                  <c:v>43101</c:v>
                </c:pt>
                <c:pt idx="1">
                  <c:v>43132</c:v>
                </c:pt>
                <c:pt idx="2">
                  <c:v>43160</c:v>
                </c:pt>
                <c:pt idx="3">
                  <c:v>43191</c:v>
                </c:pt>
                <c:pt idx="4">
                  <c:v>43221</c:v>
                </c:pt>
                <c:pt idx="5">
                  <c:v>43252</c:v>
                </c:pt>
                <c:pt idx="6">
                  <c:v>43282</c:v>
                </c:pt>
                <c:pt idx="7">
                  <c:v>43313</c:v>
                </c:pt>
              </c:numCache>
            </c:numRef>
          </c:cat>
          <c:val>
            <c:numRef>
              <c:f>'12_# MEDIDORES '!$D$103:$D$110</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D8B0-404E-BD66-0A5C34DE01CB}"/>
            </c:ext>
          </c:extLst>
        </c:ser>
        <c:dLbls>
          <c:showLegendKey val="0"/>
          <c:showVal val="0"/>
          <c:showCatName val="0"/>
          <c:showSerName val="0"/>
          <c:showPercent val="0"/>
          <c:showBubbleSize val="0"/>
        </c:dLbls>
        <c:gapWidth val="75"/>
        <c:shape val="box"/>
        <c:axId val="-937690192"/>
        <c:axId val="-937682032"/>
        <c:axId val="0"/>
      </c:bar3DChart>
      <c:dateAx>
        <c:axId val="-937690192"/>
        <c:scaling>
          <c:orientation val="minMax"/>
        </c:scaling>
        <c:delete val="0"/>
        <c:axPos val="b"/>
        <c:numFmt formatCode="mmm\-yy" sourceLinked="1"/>
        <c:majorTickMark val="none"/>
        <c:minorTickMark val="none"/>
        <c:tickLblPos val="nextTo"/>
        <c:crossAx val="-937682032"/>
        <c:crosses val="autoZero"/>
        <c:auto val="1"/>
        <c:lblOffset val="100"/>
        <c:baseTimeUnit val="months"/>
      </c:dateAx>
      <c:valAx>
        <c:axId val="-937682032"/>
        <c:scaling>
          <c:orientation val="minMax"/>
        </c:scaling>
        <c:delete val="0"/>
        <c:axPos val="l"/>
        <c:majorGridlines/>
        <c:numFmt formatCode="General" sourceLinked="1"/>
        <c:majorTickMark val="none"/>
        <c:minorTickMark val="none"/>
        <c:tickLblPos val="nextTo"/>
        <c:spPr>
          <a:ln w="9525">
            <a:noFill/>
          </a:ln>
        </c:spPr>
        <c:crossAx val="-937690192"/>
        <c:crosses val="autoZero"/>
        <c:crossBetween val="between"/>
      </c:valAx>
    </c:plotArea>
    <c:legend>
      <c:legendPos val="b"/>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200"/>
              <a:t>CONTADORES</a:t>
            </a:r>
            <a:r>
              <a:rPr lang="es-EC" sz="1200" baseline="0"/>
              <a:t> DE ENERGÍA POR AÑO</a:t>
            </a:r>
            <a:endParaRPr lang="es-EC" sz="1200"/>
          </a:p>
        </c:rich>
      </c:tx>
      <c:overlay val="0"/>
    </c:title>
    <c:autoTitleDeleted val="0"/>
    <c:plotArea>
      <c:layout/>
      <c:lineChart>
        <c:grouping val="standard"/>
        <c:varyColors val="0"/>
        <c:ser>
          <c:idx val="0"/>
          <c:order val="0"/>
          <c:tx>
            <c:strRef>
              <c:f>'12_# MEDIDORES '!$B$11</c:f>
              <c:strCache>
                <c:ptCount val="1"/>
                <c:pt idx="0">
                  <c:v>110 
V</c:v>
                </c:pt>
              </c:strCache>
            </c:strRef>
          </c:tx>
          <c:cat>
            <c:strRef>
              <c:f>'12_# MEDIDORES '!$A$24:$A$90</c:f>
              <c:strCache>
                <c:ptCount val="7"/>
                <c:pt idx="0">
                  <c:v>TOTAL/11</c:v>
                </c:pt>
                <c:pt idx="1">
                  <c:v>TOTAL/12</c:v>
                </c:pt>
                <c:pt idx="2">
                  <c:v>TOTAL/13</c:v>
                </c:pt>
                <c:pt idx="3">
                  <c:v>TOTAL/14</c:v>
                </c:pt>
                <c:pt idx="4">
                  <c:v>TOTAL/15</c:v>
                </c:pt>
                <c:pt idx="5">
                  <c:v>TOTAL/16</c:v>
                </c:pt>
                <c:pt idx="6">
                  <c:v>TOTAL/17</c:v>
                </c:pt>
              </c:strCache>
            </c:strRef>
          </c:cat>
          <c:val>
            <c:numRef>
              <c:f>'12_# MEDIDORES '!$A$24:$A$90</c:f>
              <c:numCache>
                <c:formatCode>mmm\-yy</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C8B6-4E8F-B015-0861A64175A8}"/>
            </c:ext>
          </c:extLst>
        </c:ser>
        <c:ser>
          <c:idx val="1"/>
          <c:order val="1"/>
          <c:tx>
            <c:strRef>
              <c:f>'12_# MEDIDORES '!$C$11</c:f>
              <c:strCache>
                <c:ptCount val="1"/>
                <c:pt idx="0">
                  <c:v>220-240
V</c:v>
                </c:pt>
              </c:strCache>
            </c:strRef>
          </c:tx>
          <c:cat>
            <c:strRef>
              <c:f>'12_# MEDIDORES '!$A$24:$A$90</c:f>
              <c:strCache>
                <c:ptCount val="7"/>
                <c:pt idx="0">
                  <c:v>TOTAL/11</c:v>
                </c:pt>
                <c:pt idx="1">
                  <c:v>TOTAL/12</c:v>
                </c:pt>
                <c:pt idx="2">
                  <c:v>TOTAL/13</c:v>
                </c:pt>
                <c:pt idx="3">
                  <c:v>TOTAL/14</c:v>
                </c:pt>
                <c:pt idx="4">
                  <c:v>TOTAL/15</c:v>
                </c:pt>
                <c:pt idx="5">
                  <c:v>TOTAL/16</c:v>
                </c:pt>
                <c:pt idx="6">
                  <c:v>TOTAL/17</c:v>
                </c:pt>
              </c:strCache>
            </c:strRef>
          </c:cat>
          <c:val>
            <c:numRef>
              <c:f>'12_# MEDIDORES '!$C$24:$C$90</c:f>
              <c:numCache>
                <c:formatCode>#,##0</c:formatCode>
                <c:ptCount val="7"/>
                <c:pt idx="0">
                  <c:v>0</c:v>
                </c:pt>
                <c:pt idx="1">
                  <c:v>460</c:v>
                </c:pt>
                <c:pt idx="2">
                  <c:v>542</c:v>
                </c:pt>
                <c:pt idx="3">
                  <c:v>665</c:v>
                </c:pt>
                <c:pt idx="4">
                  <c:v>660</c:v>
                </c:pt>
                <c:pt idx="5">
                  <c:v>909</c:v>
                </c:pt>
                <c:pt idx="6">
                  <c:v>675</c:v>
                </c:pt>
              </c:numCache>
            </c:numRef>
          </c:val>
          <c:smooth val="0"/>
          <c:extLst>
            <c:ext xmlns:c16="http://schemas.microsoft.com/office/drawing/2014/chart" uri="{C3380CC4-5D6E-409C-BE32-E72D297353CC}">
              <c16:uniqueId val="{00000001-C8B6-4E8F-B015-0861A64175A8}"/>
            </c:ext>
          </c:extLst>
        </c:ser>
        <c:ser>
          <c:idx val="2"/>
          <c:order val="2"/>
          <c:tx>
            <c:strRef>
              <c:f>'12_# MEDIDORES '!$D$11</c:f>
              <c:strCache>
                <c:ptCount val="1"/>
                <c:pt idx="0">
                  <c:v>3F</c:v>
                </c:pt>
              </c:strCache>
            </c:strRef>
          </c:tx>
          <c:cat>
            <c:strRef>
              <c:f>'12_# MEDIDORES '!$A$24:$A$90</c:f>
              <c:strCache>
                <c:ptCount val="7"/>
                <c:pt idx="0">
                  <c:v>TOTAL/11</c:v>
                </c:pt>
                <c:pt idx="1">
                  <c:v>TOTAL/12</c:v>
                </c:pt>
                <c:pt idx="2">
                  <c:v>TOTAL/13</c:v>
                </c:pt>
                <c:pt idx="3">
                  <c:v>TOTAL/14</c:v>
                </c:pt>
                <c:pt idx="4">
                  <c:v>TOTAL/15</c:v>
                </c:pt>
                <c:pt idx="5">
                  <c:v>TOTAL/16</c:v>
                </c:pt>
                <c:pt idx="6">
                  <c:v>TOTAL/17</c:v>
                </c:pt>
              </c:strCache>
            </c:strRef>
          </c:cat>
          <c:val>
            <c:numRef>
              <c:f>'12_# MEDIDORES '!$D$24:$D$90</c:f>
              <c:numCache>
                <c:formatCode>#,##0</c:formatCode>
                <c:ptCount val="7"/>
                <c:pt idx="0">
                  <c:v>0</c:v>
                </c:pt>
                <c:pt idx="1">
                  <c:v>8</c:v>
                </c:pt>
                <c:pt idx="2">
                  <c:v>15</c:v>
                </c:pt>
                <c:pt idx="3">
                  <c:v>12</c:v>
                </c:pt>
                <c:pt idx="4">
                  <c:v>8</c:v>
                </c:pt>
                <c:pt idx="5">
                  <c:v>2</c:v>
                </c:pt>
                <c:pt idx="6">
                  <c:v>0</c:v>
                </c:pt>
              </c:numCache>
            </c:numRef>
          </c:val>
          <c:smooth val="0"/>
          <c:extLst>
            <c:ext xmlns:c16="http://schemas.microsoft.com/office/drawing/2014/chart" uri="{C3380CC4-5D6E-409C-BE32-E72D297353CC}">
              <c16:uniqueId val="{00000002-C8B6-4E8F-B015-0861A64175A8}"/>
            </c:ext>
          </c:extLst>
        </c:ser>
        <c:dLbls>
          <c:showLegendKey val="0"/>
          <c:showVal val="0"/>
          <c:showCatName val="0"/>
          <c:showSerName val="0"/>
          <c:showPercent val="0"/>
          <c:showBubbleSize val="0"/>
        </c:dLbls>
        <c:marker val="1"/>
        <c:smooth val="0"/>
        <c:axId val="-937691280"/>
        <c:axId val="-937683120"/>
      </c:lineChart>
      <c:catAx>
        <c:axId val="-937691280"/>
        <c:scaling>
          <c:orientation val="minMax"/>
        </c:scaling>
        <c:delete val="0"/>
        <c:axPos val="b"/>
        <c:numFmt formatCode="General" sourceLinked="0"/>
        <c:majorTickMark val="none"/>
        <c:minorTickMark val="none"/>
        <c:tickLblPos val="nextTo"/>
        <c:crossAx val="-937683120"/>
        <c:crosses val="autoZero"/>
        <c:auto val="1"/>
        <c:lblAlgn val="ctr"/>
        <c:lblOffset val="100"/>
        <c:noMultiLvlLbl val="0"/>
      </c:catAx>
      <c:valAx>
        <c:axId val="-937683120"/>
        <c:scaling>
          <c:orientation val="minMax"/>
        </c:scaling>
        <c:delete val="0"/>
        <c:axPos val="l"/>
        <c:majorGridlines/>
        <c:numFmt formatCode="mmm\-yy" sourceLinked="1"/>
        <c:majorTickMark val="none"/>
        <c:minorTickMark val="none"/>
        <c:tickLblPos val="nextTo"/>
        <c:spPr>
          <a:ln w="9525">
            <a:noFill/>
          </a:ln>
        </c:spPr>
        <c:crossAx val="-937691280"/>
        <c:crosses val="autoZero"/>
        <c:crossBetween val="between"/>
      </c:valAx>
    </c:plotArea>
    <c:legend>
      <c:legendPos val="b"/>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s-ES" sz="1000"/>
            </a:pPr>
            <a:r>
              <a:rPr lang="es-EC" sz="1000"/>
              <a:t>NÚMERO</a:t>
            </a:r>
            <a:r>
              <a:rPr lang="es-EC" sz="1000" baseline="0"/>
              <a:t> DE CLIENTES</a:t>
            </a:r>
            <a:endParaRPr lang="es-EC" sz="1000"/>
          </a:p>
        </c:rich>
      </c:tx>
      <c:overlay val="0"/>
    </c:title>
    <c:autoTitleDeleted val="0"/>
    <c:plotArea>
      <c:layout/>
      <c:barChart>
        <c:barDir val="col"/>
        <c:grouping val="stacked"/>
        <c:varyColors val="0"/>
        <c:ser>
          <c:idx val="0"/>
          <c:order val="0"/>
          <c:tx>
            <c:strRef>
              <c:f>'13_CLIENTES'!$B$10</c:f>
              <c:strCache>
                <c:ptCount val="1"/>
                <c:pt idx="0">
                  <c:v>Residencial</c:v>
                </c:pt>
              </c:strCache>
            </c:strRef>
          </c:tx>
          <c:invertIfNegative val="0"/>
          <c:cat>
            <c:numRef>
              <c:f>('13_CLIENTES'!$A$11,'13_CLIENTES'!$A$84:$A$101)</c:f>
              <c:numCache>
                <c:formatCode>mmm\-yy</c:formatCode>
                <c:ptCount val="14"/>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('13_CLIENTES'!$B$11,'13_CLIENTES'!$B$84:$B$101)</c:f>
              <c:numCache>
                <c:formatCode>_(* #,##0_);_(* \(#,##0\);_(* "-"??_);_(@_)</c:formatCode>
                <c:ptCount val="14"/>
                <c:pt idx="1">
                  <c:v>9159</c:v>
                </c:pt>
                <c:pt idx="2">
                  <c:v>9173</c:v>
                </c:pt>
                <c:pt idx="3">
                  <c:v>9208</c:v>
                </c:pt>
                <c:pt idx="4">
                  <c:v>9223</c:v>
                </c:pt>
                <c:pt idx="5">
                  <c:v>9269</c:v>
                </c:pt>
                <c:pt idx="6">
                  <c:v>9314</c:v>
                </c:pt>
                <c:pt idx="7">
                  <c:v>9357</c:v>
                </c:pt>
                <c:pt idx="8">
                  <c:v>9400</c:v>
                </c:pt>
                <c:pt idx="9">
                  <c:v>9439</c:v>
                </c:pt>
                <c:pt idx="10">
                  <c:v>9502</c:v>
                </c:pt>
                <c:pt idx="11">
                  <c:v>9554</c:v>
                </c:pt>
                <c:pt idx="12">
                  <c:v>9589</c:v>
                </c:pt>
                <c:pt idx="13">
                  <c:v>9629</c:v>
                </c:pt>
              </c:numCache>
            </c:numRef>
          </c:val>
          <c:extLst>
            <c:ext xmlns:c16="http://schemas.microsoft.com/office/drawing/2014/chart" uri="{C3380CC4-5D6E-409C-BE32-E72D297353CC}">
              <c16:uniqueId val="{00000000-5BD5-4013-BE30-B637100781F6}"/>
            </c:ext>
          </c:extLst>
        </c:ser>
        <c:ser>
          <c:idx val="1"/>
          <c:order val="1"/>
          <c:tx>
            <c:strRef>
              <c:f>'13_CLIENTES'!$C$10</c:f>
              <c:strCache>
                <c:ptCount val="1"/>
                <c:pt idx="0">
                  <c:v>Comercial</c:v>
                </c:pt>
              </c:strCache>
            </c:strRef>
          </c:tx>
          <c:invertIfNegative val="0"/>
          <c:cat>
            <c:numRef>
              <c:f>('13_CLIENTES'!$A$11,'13_CLIENTES'!$A$84:$A$101)</c:f>
              <c:numCache>
                <c:formatCode>mmm\-yy</c:formatCode>
                <c:ptCount val="14"/>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('13_CLIENTES'!$C$11,'13_CLIENTES'!$C$84:$C$101)</c:f>
              <c:numCache>
                <c:formatCode>_(* #,##0_);_(* \(#,##0\);_(* "-"??_);_(@_)</c:formatCode>
                <c:ptCount val="14"/>
                <c:pt idx="1">
                  <c:v>1893</c:v>
                </c:pt>
                <c:pt idx="2">
                  <c:v>1893</c:v>
                </c:pt>
                <c:pt idx="3">
                  <c:v>1908</c:v>
                </c:pt>
                <c:pt idx="4">
                  <c:v>1904</c:v>
                </c:pt>
                <c:pt idx="5">
                  <c:v>1911</c:v>
                </c:pt>
                <c:pt idx="6">
                  <c:v>1930</c:v>
                </c:pt>
                <c:pt idx="7">
                  <c:v>1940</c:v>
                </c:pt>
                <c:pt idx="8">
                  <c:v>1951</c:v>
                </c:pt>
                <c:pt idx="9">
                  <c:v>1954</c:v>
                </c:pt>
                <c:pt idx="10">
                  <c:v>1963</c:v>
                </c:pt>
                <c:pt idx="11">
                  <c:v>1976</c:v>
                </c:pt>
                <c:pt idx="12">
                  <c:v>1989</c:v>
                </c:pt>
                <c:pt idx="13">
                  <c:v>1998</c:v>
                </c:pt>
              </c:numCache>
            </c:numRef>
          </c:val>
          <c:extLst>
            <c:ext xmlns:c16="http://schemas.microsoft.com/office/drawing/2014/chart" uri="{C3380CC4-5D6E-409C-BE32-E72D297353CC}">
              <c16:uniqueId val="{00000001-5BD5-4013-BE30-B637100781F6}"/>
            </c:ext>
          </c:extLst>
        </c:ser>
        <c:ser>
          <c:idx val="2"/>
          <c:order val="2"/>
          <c:tx>
            <c:strRef>
              <c:f>'13_CLIENTES'!$D$10</c:f>
              <c:strCache>
                <c:ptCount val="1"/>
                <c:pt idx="0">
                  <c:v>Industrial</c:v>
                </c:pt>
              </c:strCache>
            </c:strRef>
          </c:tx>
          <c:invertIfNegative val="0"/>
          <c:cat>
            <c:numRef>
              <c:f>('13_CLIENTES'!$A$11,'13_CLIENTES'!$A$84:$A$101)</c:f>
              <c:numCache>
                <c:formatCode>mmm\-yy</c:formatCode>
                <c:ptCount val="14"/>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('13_CLIENTES'!$D$11,'13_CLIENTES'!$D$84:$D$101)</c:f>
              <c:numCache>
                <c:formatCode>_(* #,##0_);_(* \(#,##0\);_(* "-"??_);_(@_)</c:formatCode>
                <c:ptCount val="14"/>
                <c:pt idx="1">
                  <c:v>182</c:v>
                </c:pt>
                <c:pt idx="2">
                  <c:v>180</c:v>
                </c:pt>
                <c:pt idx="3">
                  <c:v>182</c:v>
                </c:pt>
                <c:pt idx="4">
                  <c:v>184</c:v>
                </c:pt>
                <c:pt idx="5">
                  <c:v>184</c:v>
                </c:pt>
                <c:pt idx="6">
                  <c:v>184</c:v>
                </c:pt>
                <c:pt idx="7">
                  <c:v>184</c:v>
                </c:pt>
                <c:pt idx="8">
                  <c:v>185</c:v>
                </c:pt>
                <c:pt idx="9">
                  <c:v>185</c:v>
                </c:pt>
                <c:pt idx="10">
                  <c:v>185</c:v>
                </c:pt>
                <c:pt idx="11">
                  <c:v>186</c:v>
                </c:pt>
                <c:pt idx="12">
                  <c:v>185</c:v>
                </c:pt>
                <c:pt idx="13">
                  <c:v>185</c:v>
                </c:pt>
              </c:numCache>
            </c:numRef>
          </c:val>
          <c:extLst>
            <c:ext xmlns:c16="http://schemas.microsoft.com/office/drawing/2014/chart" uri="{C3380CC4-5D6E-409C-BE32-E72D297353CC}">
              <c16:uniqueId val="{00000002-5BD5-4013-BE30-B637100781F6}"/>
            </c:ext>
          </c:extLst>
        </c:ser>
        <c:ser>
          <c:idx val="3"/>
          <c:order val="3"/>
          <c:tx>
            <c:strRef>
              <c:f>'13_CLIENTES'!$E$10</c:f>
              <c:strCache>
                <c:ptCount val="1"/>
                <c:pt idx="0">
                  <c:v>A. Público</c:v>
                </c:pt>
              </c:strCache>
            </c:strRef>
          </c:tx>
          <c:invertIfNegative val="0"/>
          <c:cat>
            <c:numRef>
              <c:f>('13_CLIENTES'!$A$11,'13_CLIENTES'!$A$84:$A$101)</c:f>
              <c:numCache>
                <c:formatCode>mmm\-yy</c:formatCode>
                <c:ptCount val="14"/>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('13_CLIENTES'!$E$11,'13_CLIENTES'!$E$84:$E$101)</c:f>
              <c:numCache>
                <c:formatCode>_(* #,##0_);_(* \(#,##0\);_(* "-"??_);_(@_)</c:formatCode>
                <c:ptCount val="14"/>
                <c:pt idx="1">
                  <c:v>42</c:v>
                </c:pt>
                <c:pt idx="2">
                  <c:v>43</c:v>
                </c:pt>
                <c:pt idx="3">
                  <c:v>42</c:v>
                </c:pt>
                <c:pt idx="4">
                  <c:v>42</c:v>
                </c:pt>
                <c:pt idx="5">
                  <c:v>44</c:v>
                </c:pt>
                <c:pt idx="6">
                  <c:v>43</c:v>
                </c:pt>
                <c:pt idx="7">
                  <c:v>43</c:v>
                </c:pt>
                <c:pt idx="8">
                  <c:v>43</c:v>
                </c:pt>
                <c:pt idx="9">
                  <c:v>43</c:v>
                </c:pt>
                <c:pt idx="10">
                  <c:v>43</c:v>
                </c:pt>
                <c:pt idx="11">
                  <c:v>43</c:v>
                </c:pt>
                <c:pt idx="12">
                  <c:v>43</c:v>
                </c:pt>
                <c:pt idx="13">
                  <c:v>43</c:v>
                </c:pt>
              </c:numCache>
            </c:numRef>
          </c:val>
          <c:extLst>
            <c:ext xmlns:c16="http://schemas.microsoft.com/office/drawing/2014/chart" uri="{C3380CC4-5D6E-409C-BE32-E72D297353CC}">
              <c16:uniqueId val="{00000003-5BD5-4013-BE30-B637100781F6}"/>
            </c:ext>
          </c:extLst>
        </c:ser>
        <c:ser>
          <c:idx val="4"/>
          <c:order val="4"/>
          <c:tx>
            <c:strRef>
              <c:f>'13_CLIENTES'!$F$10</c:f>
              <c:strCache>
                <c:ptCount val="1"/>
                <c:pt idx="0">
                  <c:v>Otros</c:v>
                </c:pt>
              </c:strCache>
            </c:strRef>
          </c:tx>
          <c:invertIfNegative val="0"/>
          <c:cat>
            <c:numRef>
              <c:f>('13_CLIENTES'!$A$11,'13_CLIENTES'!$A$84:$A$101)</c:f>
              <c:numCache>
                <c:formatCode>mmm\-yy</c:formatCode>
                <c:ptCount val="14"/>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('13_CLIENTES'!$F$11,'13_CLIENTES'!$F$84:$F$101)</c:f>
              <c:numCache>
                <c:formatCode>_(* #,##0_);_(* \(#,##0\);_(* "-"??_);_(@_)</c:formatCode>
                <c:ptCount val="14"/>
                <c:pt idx="1">
                  <c:v>369</c:v>
                </c:pt>
                <c:pt idx="2">
                  <c:v>399</c:v>
                </c:pt>
                <c:pt idx="3">
                  <c:v>400</c:v>
                </c:pt>
                <c:pt idx="4">
                  <c:v>391</c:v>
                </c:pt>
                <c:pt idx="5">
                  <c:v>402</c:v>
                </c:pt>
                <c:pt idx="6">
                  <c:v>405</c:v>
                </c:pt>
                <c:pt idx="7">
                  <c:v>415</c:v>
                </c:pt>
                <c:pt idx="8">
                  <c:v>431</c:v>
                </c:pt>
                <c:pt idx="9">
                  <c:v>442</c:v>
                </c:pt>
                <c:pt idx="10">
                  <c:v>448</c:v>
                </c:pt>
                <c:pt idx="11">
                  <c:v>457</c:v>
                </c:pt>
                <c:pt idx="12">
                  <c:v>465</c:v>
                </c:pt>
                <c:pt idx="13">
                  <c:v>481</c:v>
                </c:pt>
              </c:numCache>
            </c:numRef>
          </c:val>
          <c:extLst>
            <c:ext xmlns:c16="http://schemas.microsoft.com/office/drawing/2014/chart" uri="{C3380CC4-5D6E-409C-BE32-E72D297353CC}">
              <c16:uniqueId val="{00000004-5BD5-4013-BE30-B637100781F6}"/>
            </c:ext>
          </c:extLst>
        </c:ser>
        <c:dLbls>
          <c:showLegendKey val="0"/>
          <c:showVal val="0"/>
          <c:showCatName val="0"/>
          <c:showSerName val="0"/>
          <c:showPercent val="0"/>
          <c:showBubbleSize val="0"/>
        </c:dLbls>
        <c:gapWidth val="150"/>
        <c:overlap val="100"/>
        <c:axId val="-937688016"/>
        <c:axId val="-937679856"/>
      </c:barChart>
      <c:dateAx>
        <c:axId val="-937688016"/>
        <c:scaling>
          <c:orientation val="minMax"/>
        </c:scaling>
        <c:delete val="0"/>
        <c:axPos val="b"/>
        <c:numFmt formatCode="m/d/yyyy" sourceLinked="0"/>
        <c:majorTickMark val="out"/>
        <c:minorTickMark val="none"/>
        <c:tickLblPos val="nextTo"/>
        <c:txPr>
          <a:bodyPr rot="-5400000" vert="horz"/>
          <a:lstStyle/>
          <a:p>
            <a:pPr>
              <a:defRPr lang="es-ES"/>
            </a:pPr>
            <a:endParaRPr lang="es-US"/>
          </a:p>
        </c:txPr>
        <c:crossAx val="-937679856"/>
        <c:crosses val="autoZero"/>
        <c:auto val="1"/>
        <c:lblOffset val="100"/>
        <c:baseTimeUnit val="months"/>
      </c:dateAx>
      <c:valAx>
        <c:axId val="-937679856"/>
        <c:scaling>
          <c:orientation val="minMax"/>
        </c:scaling>
        <c:delete val="0"/>
        <c:axPos val="l"/>
        <c:majorGridlines/>
        <c:numFmt formatCode="General" sourceLinked="1"/>
        <c:majorTickMark val="out"/>
        <c:minorTickMark val="none"/>
        <c:tickLblPos val="nextTo"/>
        <c:txPr>
          <a:bodyPr/>
          <a:lstStyle/>
          <a:p>
            <a:pPr>
              <a:defRPr lang="es-ES"/>
            </a:pPr>
            <a:endParaRPr lang="es-US"/>
          </a:p>
        </c:txPr>
        <c:crossAx val="-937688016"/>
        <c:crosses val="autoZero"/>
        <c:crossBetween val="between"/>
      </c:valAx>
    </c:plotArea>
    <c:legend>
      <c:legendPos val="b"/>
      <c:overlay val="0"/>
      <c:txPr>
        <a:bodyPr/>
        <a:lstStyle/>
        <a:p>
          <a:pPr>
            <a:defRPr lang="es-ES"/>
          </a:pPr>
          <a:endParaRPr lang="es-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Clientes atendidos por trabajador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S"/>
        </a:p>
      </c:txPr>
    </c:title>
    <c:autoTitleDeleted val="0"/>
    <c:plotArea>
      <c:layout>
        <c:manualLayout>
          <c:layoutTarget val="inner"/>
          <c:xMode val="edge"/>
          <c:yMode val="edge"/>
          <c:x val="7.0393932036028534E-2"/>
          <c:y val="0.19393472036836823"/>
          <c:w val="0.89730063477748101"/>
          <c:h val="0.5655423047881446"/>
        </c:manualLayout>
      </c:layout>
      <c:barChart>
        <c:barDir val="col"/>
        <c:grouping val="clustered"/>
        <c:varyColors val="0"/>
        <c:ser>
          <c:idx val="0"/>
          <c:order val="0"/>
          <c:tx>
            <c:strRef>
              <c:f>'14_CLIENTxTRAB_electric '!$C$15:$D$15</c:f>
              <c:strCache>
                <c:ptCount val="1"/>
                <c:pt idx="0">
                  <c:v>AÑO 2018</c:v>
                </c:pt>
              </c:strCache>
            </c:strRef>
          </c:tx>
          <c:spPr>
            <a:solidFill>
              <a:schemeClr val="accent1"/>
            </a:solidFill>
            <a:ln>
              <a:noFill/>
            </a:ln>
            <a:effectLst/>
          </c:spPr>
          <c:invertIfNegative val="0"/>
          <c:cat>
            <c:numRef>
              <c:f>'14_CLIENTxTRAB_electric '!$A$58:$A$73</c:f>
              <c:numCache>
                <c:formatCode>mmm\-yy</c:formatCode>
                <c:ptCount val="12"/>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numCache>
            </c:numRef>
          </c:cat>
          <c:val>
            <c:numRef>
              <c:f>'14_CLIENTxTRAB_electric '!$C$58:$C$73</c:f>
              <c:numCache>
                <c:formatCode>0</c:formatCode>
                <c:ptCount val="12"/>
                <c:pt idx="0">
                  <c:v>74.412903225806446</c:v>
                </c:pt>
                <c:pt idx="1">
                  <c:v>74.412903225806446</c:v>
                </c:pt>
                <c:pt idx="2">
                  <c:v>74.412903225806446</c:v>
                </c:pt>
                <c:pt idx="3">
                  <c:v>73.400000000000006</c:v>
                </c:pt>
                <c:pt idx="4">
                  <c:v>77.189542483660134</c:v>
                </c:pt>
                <c:pt idx="5">
                  <c:v>74.691823899371073</c:v>
                </c:pt>
                <c:pt idx="6">
                  <c:v>72.357575757575759</c:v>
                </c:pt>
                <c:pt idx="7">
                  <c:v>71.488095238095241</c:v>
                </c:pt>
                <c:pt idx="8">
                  <c:v>69.728323699421964</c:v>
                </c:pt>
                <c:pt idx="9">
                  <c:v>70.587209302325576</c:v>
                </c:pt>
                <c:pt idx="10">
                  <c:v>73</c:v>
                </c:pt>
              </c:numCache>
            </c:numRef>
          </c:val>
          <c:extLst>
            <c:ext xmlns:c16="http://schemas.microsoft.com/office/drawing/2014/chart" uri="{C3380CC4-5D6E-409C-BE32-E72D297353CC}">
              <c16:uniqueId val="{00000000-7507-4FE5-96C6-A1C6200D0EA7}"/>
            </c:ext>
          </c:extLst>
        </c:ser>
        <c:ser>
          <c:idx val="1"/>
          <c:order val="1"/>
          <c:tx>
            <c:strRef>
              <c:f>'14_CLIENTxTRAB_electric '!$E$15:$E$17</c:f>
              <c:strCache>
                <c:ptCount val="3"/>
                <c:pt idx="0">
                  <c:v>AÑO 2017 NCeT</c:v>
                </c:pt>
              </c:strCache>
            </c:strRef>
          </c:tx>
          <c:spPr>
            <a:solidFill>
              <a:schemeClr val="accent2"/>
            </a:solidFill>
            <a:ln>
              <a:noFill/>
            </a:ln>
            <a:effectLst/>
          </c:spPr>
          <c:invertIfNegative val="0"/>
          <c:cat>
            <c:numRef>
              <c:f>'14_CLIENTxTRAB_electric '!$A$58:$A$73</c:f>
              <c:numCache>
                <c:formatCode>mmm\-yy</c:formatCode>
                <c:ptCount val="12"/>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numCache>
            </c:numRef>
          </c:cat>
          <c:val>
            <c:numRef>
              <c:f>'14_CLIENTxTRAB_electric '!$E$58:$E$73</c:f>
              <c:numCache>
                <c:formatCode>0</c:formatCode>
                <c:ptCount val="12"/>
                <c:pt idx="0">
                  <c:v>79</c:v>
                </c:pt>
                <c:pt idx="1">
                  <c:v>80</c:v>
                </c:pt>
                <c:pt idx="2">
                  <c:v>81</c:v>
                </c:pt>
                <c:pt idx="3">
                  <c:v>82</c:v>
                </c:pt>
                <c:pt idx="4">
                  <c:v>88</c:v>
                </c:pt>
                <c:pt idx="5">
                  <c:v>84</c:v>
                </c:pt>
                <c:pt idx="6">
                  <c:v>82</c:v>
                </c:pt>
                <c:pt idx="7">
                  <c:v>79</c:v>
                </c:pt>
                <c:pt idx="8">
                  <c:v>77</c:v>
                </c:pt>
                <c:pt idx="9">
                  <c:v>74</c:v>
                </c:pt>
                <c:pt idx="10">
                  <c:v>74</c:v>
                </c:pt>
                <c:pt idx="11">
                  <c:v>75</c:v>
                </c:pt>
              </c:numCache>
            </c:numRef>
          </c:val>
          <c:extLst>
            <c:ext xmlns:c16="http://schemas.microsoft.com/office/drawing/2014/chart" uri="{C3380CC4-5D6E-409C-BE32-E72D297353CC}">
              <c16:uniqueId val="{00000001-7507-4FE5-96C6-A1C6200D0EA7}"/>
            </c:ext>
          </c:extLst>
        </c:ser>
        <c:dLbls>
          <c:showLegendKey val="0"/>
          <c:showVal val="0"/>
          <c:showCatName val="0"/>
          <c:showSerName val="0"/>
          <c:showPercent val="0"/>
          <c:showBubbleSize val="0"/>
        </c:dLbls>
        <c:gapWidth val="219"/>
        <c:overlap val="-27"/>
        <c:axId val="940984472"/>
        <c:axId val="940981520"/>
      </c:barChart>
      <c:dateAx>
        <c:axId val="9409844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crossAx val="940981520"/>
        <c:crosses val="autoZero"/>
        <c:auto val="1"/>
        <c:lblOffset val="100"/>
        <c:baseTimeUnit val="months"/>
      </c:dateAx>
      <c:valAx>
        <c:axId val="940981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crossAx val="940984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EC" sz="1100" b="1"/>
              <a:t>PORCENTAJE DE ERRORES EN LA FACTURACIÓN (PEF)</a:t>
            </a:r>
          </a:p>
        </c:rich>
      </c:tx>
      <c:overlay val="0"/>
      <c:spPr>
        <a:noFill/>
        <a:ln>
          <a:noFill/>
        </a:ln>
        <a:effectLst/>
      </c:spPr>
    </c:title>
    <c:autoTitleDeleted val="0"/>
    <c:plotArea>
      <c:layout>
        <c:manualLayout>
          <c:layoutTarget val="inner"/>
          <c:xMode val="edge"/>
          <c:yMode val="edge"/>
          <c:x val="0.14143685867537314"/>
          <c:y val="0.29893037859903776"/>
          <c:w val="0.85856314132462686"/>
          <c:h val="0.57061942979602043"/>
        </c:manualLayout>
      </c:layout>
      <c:lineChart>
        <c:grouping val="standard"/>
        <c:varyColors val="0"/>
        <c:ser>
          <c:idx val="0"/>
          <c:order val="0"/>
          <c:tx>
            <c:strRef>
              <c:f>'15_PEF_2015-2016'!$B$17</c:f>
              <c:strCache>
                <c:ptCount val="1"/>
                <c:pt idx="0">
                  <c:v>PEF
AÑO MOVIL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cat>
            <c:numRef>
              <c:f>'15_PEF_2015-2016'!$A$62:$A$106</c:f>
              <c:numCache>
                <c:formatCode>mmm\-yy</c:formatCode>
                <c:ptCount val="1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'15_PEF_2015-2016'!$B$62:$B$106</c:f>
              <c:numCache>
                <c:formatCode>_(* #,##0.00_);_(* \(#,##0.00\);_(* "-"??_);_(@_)</c:formatCode>
                <c:ptCount val="14"/>
                <c:pt idx="0">
                  <c:v>3.8333333333333337E-2</c:v>
                </c:pt>
                <c:pt idx="1">
                  <c:v>3.3333333333333333E-2</c:v>
                </c:pt>
                <c:pt idx="2">
                  <c:v>3.0833333333333341E-2</c:v>
                </c:pt>
                <c:pt idx="3">
                  <c:v>2.9166666666666674E-2</c:v>
                </c:pt>
                <c:pt idx="4">
                  <c:v>3.0833333333333341E-2</c:v>
                </c:pt>
                <c:pt idx="5">
                  <c:v>3.0833333333333341E-2</c:v>
                </c:pt>
                <c:pt idx="6">
                  <c:v>3.0000000000000009E-2</c:v>
                </c:pt>
                <c:pt idx="7">
                  <c:v>3.1666666666666669E-2</c:v>
                </c:pt>
                <c:pt idx="8">
                  <c:v>3.0000000000000002E-2</c:v>
                </c:pt>
                <c:pt idx="9">
                  <c:v>2.9166666666666671E-2</c:v>
                </c:pt>
                <c:pt idx="10">
                  <c:v>0.03</c:v>
                </c:pt>
                <c:pt idx="11">
                  <c:v>0.03</c:v>
                </c:pt>
                <c:pt idx="12">
                  <c:v>3.2500000000000008E-2</c:v>
                </c:pt>
                <c:pt idx="13">
                  <c:v>3.5000000000000003E-2</c:v>
                </c:pt>
              </c:numCache>
            </c:numRef>
          </c:val>
          <c:smooth val="0"/>
          <c:extLst>
            <c:ext xmlns:c16="http://schemas.microsoft.com/office/drawing/2014/chart" uri="{C3380CC4-5D6E-409C-BE32-E72D297353CC}">
              <c16:uniqueId val="{00000000-1A71-4C43-BED9-66E2C06960CF}"/>
            </c:ext>
          </c:extLst>
        </c:ser>
        <c:ser>
          <c:idx val="1"/>
          <c:order val="1"/>
          <c:tx>
            <c:strRef>
              <c:f>'15_PEF_2015-2016'!$C$17</c:f>
              <c:strCache>
                <c:ptCount val="1"/>
                <c:pt idx="0">
                  <c:v>PEF
MENSUAL
%</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cat>
            <c:numRef>
              <c:f>'15_PEF_2015-2016'!$A$62:$A$106</c:f>
              <c:numCache>
                <c:formatCode>mmm\-yy</c:formatCode>
                <c:ptCount val="1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'15_PEF_2015-2016'!$C$62:$C$106</c:f>
              <c:numCache>
                <c:formatCode>#,##0.000</c:formatCode>
                <c:ptCount val="14"/>
                <c:pt idx="0">
                  <c:v>0.02</c:v>
                </c:pt>
                <c:pt idx="1">
                  <c:v>0.03</c:v>
                </c:pt>
                <c:pt idx="2">
                  <c:v>0.03</c:v>
                </c:pt>
                <c:pt idx="3">
                  <c:v>0.02</c:v>
                </c:pt>
                <c:pt idx="4">
                  <c:v>0.03</c:v>
                </c:pt>
                <c:pt idx="5">
                  <c:v>0.02</c:v>
                </c:pt>
                <c:pt idx="6">
                  <c:v>0.02</c:v>
                </c:pt>
                <c:pt idx="7">
                  <c:v>0.05</c:v>
                </c:pt>
                <c:pt idx="8">
                  <c:v>0.01</c:v>
                </c:pt>
                <c:pt idx="9">
                  <c:v>0.02</c:v>
                </c:pt>
                <c:pt idx="10">
                  <c:v>7.0000000000000007E-2</c:v>
                </c:pt>
                <c:pt idx="11">
                  <c:v>0.02</c:v>
                </c:pt>
                <c:pt idx="12">
                  <c:v>7.0000000000000007E-2</c:v>
                </c:pt>
                <c:pt idx="13" formatCode="0.000">
                  <c:v>0.06</c:v>
                </c:pt>
              </c:numCache>
            </c:numRef>
          </c:val>
          <c:smooth val="0"/>
          <c:extLst>
            <c:ext xmlns:c16="http://schemas.microsoft.com/office/drawing/2014/chart" uri="{C3380CC4-5D6E-409C-BE32-E72D297353CC}">
              <c16:uniqueId val="{00000001-1A71-4C43-BED9-66E2C06960CF}"/>
            </c:ext>
          </c:extLst>
        </c:ser>
        <c:ser>
          <c:idx val="2"/>
          <c:order val="2"/>
          <c:tx>
            <c:strRef>
              <c:f>'15_PEF_2015-2016'!$D$17</c:f>
              <c:strCache>
                <c:ptCount val="1"/>
                <c:pt idx="0">
                  <c:v>META PEF EEPG
%</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cat>
            <c:numRef>
              <c:f>'15_PEF_2015-2016'!$A$62:$A$106</c:f>
              <c:numCache>
                <c:formatCode>mmm\-yy</c:formatCode>
                <c:ptCount val="1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'15_PEF_2015-2016'!$D$62:$D$106</c:f>
              <c:numCache>
                <c:formatCode>#,##0.0000</c:formatCode>
                <c:ptCount val="14"/>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numCache>
            </c:numRef>
          </c:val>
          <c:smooth val="0"/>
          <c:extLst>
            <c:ext xmlns:c16="http://schemas.microsoft.com/office/drawing/2014/chart" uri="{C3380CC4-5D6E-409C-BE32-E72D297353CC}">
              <c16:uniqueId val="{00000002-1A71-4C43-BED9-66E2C06960CF}"/>
            </c:ext>
          </c:extLst>
        </c:ser>
        <c:ser>
          <c:idx val="3"/>
          <c:order val="3"/>
          <c:tx>
            <c:strRef>
              <c:f>'15_PEF_2015-2016'!$E$17</c:f>
              <c:strCache>
                <c:ptCount val="1"/>
                <c:pt idx="0">
                  <c:v>LÍMITE ARCONEL
%</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cat>
            <c:numRef>
              <c:f>'15_PEF_2015-2016'!$A$62:$A$106</c:f>
              <c:numCache>
                <c:formatCode>mmm\-yy</c:formatCode>
                <c:ptCount val="14"/>
                <c:pt idx="0">
                  <c:v>42948</c:v>
                </c:pt>
                <c:pt idx="1">
                  <c:v>42979</c:v>
                </c:pt>
                <c:pt idx="2">
                  <c:v>43009</c:v>
                </c:pt>
                <c:pt idx="3">
                  <c:v>43040</c:v>
                </c:pt>
                <c:pt idx="4">
                  <c:v>43070</c:v>
                </c:pt>
                <c:pt idx="5">
                  <c:v>43101</c:v>
                </c:pt>
                <c:pt idx="6">
                  <c:v>43132</c:v>
                </c:pt>
                <c:pt idx="7">
                  <c:v>43160</c:v>
                </c:pt>
                <c:pt idx="8">
                  <c:v>43191</c:v>
                </c:pt>
                <c:pt idx="9">
                  <c:v>43221</c:v>
                </c:pt>
                <c:pt idx="10">
                  <c:v>43252</c:v>
                </c:pt>
                <c:pt idx="11">
                  <c:v>43282</c:v>
                </c:pt>
                <c:pt idx="12">
                  <c:v>43313</c:v>
                </c:pt>
                <c:pt idx="13">
                  <c:v>43344</c:v>
                </c:pt>
              </c:numCache>
            </c:numRef>
          </c:cat>
          <c:val>
            <c:numRef>
              <c:f>'15_PEF_2015-2016'!$E$62:$E$106</c:f>
              <c:numCache>
                <c:formatCode>#,##0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smooth val="0"/>
          <c:extLst>
            <c:ext xmlns:c16="http://schemas.microsoft.com/office/drawing/2014/chart" uri="{C3380CC4-5D6E-409C-BE32-E72D297353CC}">
              <c16:uniqueId val="{00000003-1A71-4C43-BED9-66E2C06960CF}"/>
            </c:ext>
          </c:extLst>
        </c:ser>
        <c:dLbls>
          <c:showLegendKey val="0"/>
          <c:showVal val="0"/>
          <c:showCatName val="0"/>
          <c:showSerName val="0"/>
          <c:showPercent val="0"/>
          <c:showBubbleSize val="0"/>
        </c:dLbls>
        <c:marker val="1"/>
        <c:smooth val="0"/>
        <c:axId val="-937686928"/>
        <c:axId val="-937687472"/>
      </c:lineChart>
      <c:catAx>
        <c:axId val="-9376869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crossAx val="-937687472"/>
        <c:crosses val="autoZero"/>
        <c:auto val="0"/>
        <c:lblAlgn val="ctr"/>
        <c:lblOffset val="100"/>
        <c:noMultiLvlLbl val="0"/>
      </c:catAx>
      <c:valAx>
        <c:axId val="-93768747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crossAx val="-937686928"/>
        <c:crosses val="autoZero"/>
        <c:crossBetween val="between"/>
      </c:valAx>
      <c:spPr>
        <a:noFill/>
        <a:ln>
          <a:noFill/>
        </a:ln>
        <a:effectLst/>
      </c:spPr>
    </c:plotArea>
    <c:legend>
      <c:legendPos val="b"/>
      <c:layout>
        <c:manualLayout>
          <c:xMode val="edge"/>
          <c:yMode val="edge"/>
          <c:x val="7.468128109452736E-2"/>
          <c:y val="0.11184175434978184"/>
          <c:w val="0.9"/>
          <c:h val="0.13172469339060738"/>
        </c:manualLayout>
      </c:layout>
      <c:overlay val="0"/>
      <c:spPr>
        <a:noFill/>
        <a:ln>
          <a:noFill/>
        </a:ln>
        <a:effectLst/>
      </c:spPr>
      <c:txPr>
        <a:bodyPr rot="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CONSUMO  DE ENERGÍA  (MWh) </a:t>
            </a:r>
            <a:br>
              <a:rPr lang="es-EC"/>
            </a:br>
            <a:r>
              <a:rPr lang="es-EC"/>
              <a:t>POR AÑO</a:t>
            </a:r>
          </a:p>
        </c:rich>
      </c:tx>
      <c:overlay val="0"/>
      <c:spPr>
        <a:noFill/>
        <a:ln>
          <a:noFill/>
        </a:ln>
        <a:effectLst/>
      </c:spPr>
    </c:title>
    <c:autoTitleDeleted val="0"/>
    <c:plotArea>
      <c:layout/>
      <c:barChart>
        <c:barDir val="bar"/>
        <c:grouping val="stacked"/>
        <c:varyColors val="0"/>
        <c:ser>
          <c:idx val="0"/>
          <c:order val="0"/>
          <c:tx>
            <c:strRef>
              <c:f>'01_MWh GENERACIÓN'!$B$12</c:f>
              <c:strCache>
                <c:ptCount val="1"/>
                <c:pt idx="0">
                  <c:v>SAN CRISTÓBAL 
TÉRMICO</c:v>
                </c:pt>
              </c:strCache>
            </c:strRef>
          </c:tx>
          <c:spPr>
            <a:solidFill>
              <a:schemeClr val="accent1"/>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GENERACIÓN'!$B$25:$B$103</c:f>
              <c:numCache>
                <c:formatCode>_(* #,##0.00_);_(* \(#,##0.00\);_(* "-"??_);_(@_)</c:formatCode>
                <c:ptCount val="7"/>
                <c:pt idx="0">
                  <c:v>6766.9889999999996</c:v>
                </c:pt>
                <c:pt idx="1">
                  <c:v>8668.0789999999997</c:v>
                </c:pt>
                <c:pt idx="2">
                  <c:v>7829.6149999999989</c:v>
                </c:pt>
                <c:pt idx="3">
                  <c:v>9924.3334999999988</c:v>
                </c:pt>
                <c:pt idx="4">
                  <c:v>12454.861099999998</c:v>
                </c:pt>
                <c:pt idx="5">
                  <c:v>13445.169178999999</c:v>
                </c:pt>
                <c:pt idx="6">
                  <c:v>13001.966124</c:v>
                </c:pt>
              </c:numCache>
            </c:numRef>
          </c:val>
          <c:extLst>
            <c:ext xmlns:c16="http://schemas.microsoft.com/office/drawing/2014/chart" uri="{C3380CC4-5D6E-409C-BE32-E72D297353CC}">
              <c16:uniqueId val="{00000000-962E-4FBD-89D0-6E344C85D67A}"/>
            </c:ext>
          </c:extLst>
        </c:ser>
        <c:ser>
          <c:idx val="1"/>
          <c:order val="1"/>
          <c:tx>
            <c:strRef>
              <c:f>'01_MWh GENERACIÓN'!$C$12</c:f>
              <c:strCache>
                <c:ptCount val="1"/>
                <c:pt idx="0">
                  <c:v>SAN CRISTÓBAL 
EÓLICO</c:v>
                </c:pt>
              </c:strCache>
            </c:strRef>
          </c:tx>
          <c:spPr>
            <a:solidFill>
              <a:schemeClr val="accent2"/>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GENERACIÓN'!$C$25:$C$103</c:f>
              <c:numCache>
                <c:formatCode>_(* #,##0.00_);_(* \(#,##0.00\);_(* "-"??_);_(@_)</c:formatCode>
                <c:ptCount val="7"/>
                <c:pt idx="0">
                  <c:v>3344.6256406250004</c:v>
                </c:pt>
                <c:pt idx="1">
                  <c:v>2398.3730000000005</c:v>
                </c:pt>
                <c:pt idx="2">
                  <c:v>3451.4510599999999</c:v>
                </c:pt>
                <c:pt idx="3">
                  <c:v>3864.3929374999998</c:v>
                </c:pt>
                <c:pt idx="4">
                  <c:v>3396.3650000000002</c:v>
                </c:pt>
                <c:pt idx="5">
                  <c:v>1187.3941599999998</c:v>
                </c:pt>
                <c:pt idx="6">
                  <c:v>1954.143122188</c:v>
                </c:pt>
              </c:numCache>
            </c:numRef>
          </c:val>
          <c:extLst>
            <c:ext xmlns:c16="http://schemas.microsoft.com/office/drawing/2014/chart" uri="{C3380CC4-5D6E-409C-BE32-E72D297353CC}">
              <c16:uniqueId val="{00000001-962E-4FBD-89D0-6E344C85D67A}"/>
            </c:ext>
          </c:extLst>
        </c:ser>
        <c:ser>
          <c:idx val="2"/>
          <c:order val="2"/>
          <c:tx>
            <c:strRef>
              <c:f>'01_MWh GENERACIÓN'!$D$12</c:f>
              <c:strCache>
                <c:ptCount val="1"/>
                <c:pt idx="0">
                  <c:v>SAN CRISTÓBAL 
SOLAR</c:v>
                </c:pt>
              </c:strCache>
            </c:strRef>
          </c:tx>
          <c:spPr>
            <a:solidFill>
              <a:schemeClr val="accent3"/>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GENERACIÓN'!$D$25:$D$103</c:f>
              <c:numCache>
                <c:formatCode>_(* #,##0.00_);_(* \(#,##0.00\);_(* "-"??_);_(@_)</c:formatCode>
                <c:ptCount val="7"/>
                <c:pt idx="0">
                  <c:v>17.850999999999999</c:v>
                </c:pt>
                <c:pt idx="1">
                  <c:v>16.744</c:v>
                </c:pt>
                <c:pt idx="2">
                  <c:v>16.981000000000002</c:v>
                </c:pt>
                <c:pt idx="3">
                  <c:v>17.249999999999996</c:v>
                </c:pt>
                <c:pt idx="4">
                  <c:v>15.869</c:v>
                </c:pt>
                <c:pt idx="5">
                  <c:v>15.457000000000001</c:v>
                </c:pt>
                <c:pt idx="6">
                  <c:v>13.592180000000013</c:v>
                </c:pt>
              </c:numCache>
            </c:numRef>
          </c:val>
          <c:extLst>
            <c:ext xmlns:c16="http://schemas.microsoft.com/office/drawing/2014/chart" uri="{C3380CC4-5D6E-409C-BE32-E72D297353CC}">
              <c16:uniqueId val="{00000002-962E-4FBD-89D0-6E344C85D67A}"/>
            </c:ext>
          </c:extLst>
        </c:ser>
        <c:ser>
          <c:idx val="3"/>
          <c:order val="3"/>
          <c:tx>
            <c:strRef>
              <c:f>'01_MWh GENERACIÓN'!$E$12</c:f>
              <c:strCache>
                <c:ptCount val="1"/>
                <c:pt idx="0">
                  <c:v>SANTA CRUZ
TÉRMICO</c:v>
                </c:pt>
              </c:strCache>
            </c:strRef>
          </c:tx>
          <c:spPr>
            <a:solidFill>
              <a:schemeClr val="accent4"/>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GENERACIÓN'!$E$25:$E$103</c:f>
              <c:numCache>
                <c:formatCode>_(* #,##0.00_);_(* \(#,##0.00\);_(* "-"??_);_(@_)</c:formatCode>
                <c:ptCount val="7"/>
                <c:pt idx="0">
                  <c:v>21774.924000000006</c:v>
                </c:pt>
                <c:pt idx="1">
                  <c:v>24160.675999999999</c:v>
                </c:pt>
                <c:pt idx="2">
                  <c:v>25173.471999999998</c:v>
                </c:pt>
                <c:pt idx="3">
                  <c:v>27732.053999999996</c:v>
                </c:pt>
                <c:pt idx="4">
                  <c:v>27892.543000000001</c:v>
                </c:pt>
                <c:pt idx="5">
                  <c:v>26417.979220999998</c:v>
                </c:pt>
                <c:pt idx="6">
                  <c:v>27614.290790000003</c:v>
                </c:pt>
              </c:numCache>
            </c:numRef>
          </c:val>
          <c:extLst>
            <c:ext xmlns:c16="http://schemas.microsoft.com/office/drawing/2014/chart" uri="{C3380CC4-5D6E-409C-BE32-E72D297353CC}">
              <c16:uniqueId val="{00000003-962E-4FBD-89D0-6E344C85D67A}"/>
            </c:ext>
          </c:extLst>
        </c:ser>
        <c:ser>
          <c:idx val="4"/>
          <c:order val="4"/>
          <c:tx>
            <c:strRef>
              <c:f>'01_MWh GENERACIÓN'!$F$12</c:f>
              <c:strCache>
                <c:ptCount val="1"/>
                <c:pt idx="0">
                  <c:v>SANTA CRUZ-BALTRA
FOTOVOLTAICA</c:v>
                </c:pt>
              </c:strCache>
            </c:strRef>
          </c:tx>
          <c:spPr>
            <a:solidFill>
              <a:schemeClr val="accent5"/>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GENERACIÓN'!$F$25:$F$103</c:f>
              <c:numCache>
                <c:formatCode>_(* #,##0.00_);_(* \(#,##0.00\);_(* "-"??_);_(@_)</c:formatCode>
                <c:ptCount val="7"/>
                <c:pt idx="0">
                  <c:v>0</c:v>
                </c:pt>
                <c:pt idx="1">
                  <c:v>0</c:v>
                </c:pt>
                <c:pt idx="2">
                  <c:v>0</c:v>
                </c:pt>
                <c:pt idx="3">
                  <c:v>1156.1055799999999</c:v>
                </c:pt>
                <c:pt idx="4">
                  <c:v>2010.4923000000003</c:v>
                </c:pt>
                <c:pt idx="5">
                  <c:v>2144.098</c:v>
                </c:pt>
                <c:pt idx="6">
                  <c:v>2433.8663999999994</c:v>
                </c:pt>
              </c:numCache>
            </c:numRef>
          </c:val>
          <c:extLst>
            <c:ext xmlns:c16="http://schemas.microsoft.com/office/drawing/2014/chart" uri="{C3380CC4-5D6E-409C-BE32-E72D297353CC}">
              <c16:uniqueId val="{00000004-962E-4FBD-89D0-6E344C85D67A}"/>
            </c:ext>
          </c:extLst>
        </c:ser>
        <c:ser>
          <c:idx val="5"/>
          <c:order val="5"/>
          <c:tx>
            <c:strRef>
              <c:f>'01_MWh GENERACIÓN'!$G$12</c:f>
              <c:strCache>
                <c:ptCount val="1"/>
                <c:pt idx="0">
                  <c:v>SANTA CRUZ - BALTRA
EÓLICO</c:v>
                </c:pt>
              </c:strCache>
            </c:strRef>
          </c:tx>
          <c:spPr>
            <a:solidFill>
              <a:schemeClr val="accent6"/>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GENERACIÓN'!$G$25:$G$103</c:f>
              <c:numCache>
                <c:formatCode>_(* #,##0.00_);_(* \(#,##0.00\);_(* "-"??_);_(@_)</c:formatCode>
                <c:ptCount val="7"/>
                <c:pt idx="0">
                  <c:v>0</c:v>
                </c:pt>
                <c:pt idx="1">
                  <c:v>0</c:v>
                </c:pt>
                <c:pt idx="2">
                  <c:v>0</c:v>
                </c:pt>
                <c:pt idx="3">
                  <c:v>82.962000000000003</c:v>
                </c:pt>
                <c:pt idx="4">
                  <c:v>2947.1634554824213</c:v>
                </c:pt>
                <c:pt idx="5">
                  <c:v>4534.5218897656241</c:v>
                </c:pt>
                <c:pt idx="6">
                  <c:v>4252.9698693312494</c:v>
                </c:pt>
              </c:numCache>
            </c:numRef>
          </c:val>
          <c:extLst>
            <c:ext xmlns:c16="http://schemas.microsoft.com/office/drawing/2014/chart" uri="{C3380CC4-5D6E-409C-BE32-E72D297353CC}">
              <c16:uniqueId val="{00000005-962E-4FBD-89D0-6E344C85D67A}"/>
            </c:ext>
          </c:extLst>
        </c:ser>
        <c:ser>
          <c:idx val="6"/>
          <c:order val="6"/>
          <c:tx>
            <c:strRef>
              <c:f>'01_MWh GENERACIÓN'!$H$12</c:f>
              <c:strCache>
                <c:ptCount val="1"/>
                <c:pt idx="0">
                  <c:v>ISABELA
TÉRMICO</c:v>
                </c:pt>
              </c:strCache>
            </c:strRef>
          </c:tx>
          <c:spPr>
            <a:solidFill>
              <a:schemeClr val="accent1">
                <a:lumMod val="60000"/>
              </a:schemeClr>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GENERACIÓN'!$H$25:$H$103</c:f>
              <c:numCache>
                <c:formatCode>_(* #,##0.00_);_(* \(#,##0.00\);_(* "-"??_);_(@_)</c:formatCode>
                <c:ptCount val="7"/>
                <c:pt idx="0">
                  <c:v>3120.0639999999999</c:v>
                </c:pt>
                <c:pt idx="1">
                  <c:v>3533.7030000000004</c:v>
                </c:pt>
                <c:pt idx="2">
                  <c:v>3683.9119999999994</c:v>
                </c:pt>
                <c:pt idx="3">
                  <c:v>4411.835</c:v>
                </c:pt>
                <c:pt idx="4">
                  <c:v>4885.2790000000005</c:v>
                </c:pt>
                <c:pt idx="5">
                  <c:v>4995.0604199999998</c:v>
                </c:pt>
                <c:pt idx="6">
                  <c:v>5256.0496410000005</c:v>
                </c:pt>
              </c:numCache>
            </c:numRef>
          </c:val>
          <c:extLst>
            <c:ext xmlns:c16="http://schemas.microsoft.com/office/drawing/2014/chart" uri="{C3380CC4-5D6E-409C-BE32-E72D297353CC}">
              <c16:uniqueId val="{00000006-962E-4FBD-89D0-6E344C85D67A}"/>
            </c:ext>
          </c:extLst>
        </c:ser>
        <c:ser>
          <c:idx val="7"/>
          <c:order val="7"/>
          <c:tx>
            <c:strRef>
              <c:f>'01_MWh GENERACIÓN'!$J$12</c:f>
              <c:strCache>
                <c:ptCount val="1"/>
                <c:pt idx="0">
                  <c:v>FLOREANA
TÉRMICO</c:v>
                </c:pt>
              </c:strCache>
            </c:strRef>
          </c:tx>
          <c:spPr>
            <a:solidFill>
              <a:schemeClr val="accent2">
                <a:lumMod val="60000"/>
              </a:schemeClr>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GENERACIÓN'!$J$25:$J$103</c:f>
              <c:numCache>
                <c:formatCode>_(* #,##0.00_);_(* \(#,##0.00\);_(* "-"??_);_(@_)</c:formatCode>
                <c:ptCount val="7"/>
                <c:pt idx="0">
                  <c:v>201.82834909090911</c:v>
                </c:pt>
                <c:pt idx="1">
                  <c:v>364.209</c:v>
                </c:pt>
                <c:pt idx="2">
                  <c:v>170.5582</c:v>
                </c:pt>
                <c:pt idx="3">
                  <c:v>197.39475000000002</c:v>
                </c:pt>
                <c:pt idx="4">
                  <c:v>167.46645000000004</c:v>
                </c:pt>
                <c:pt idx="5">
                  <c:v>207.56104999999994</c:v>
                </c:pt>
                <c:pt idx="6">
                  <c:v>240.09866699999998</c:v>
                </c:pt>
              </c:numCache>
            </c:numRef>
          </c:val>
          <c:extLst>
            <c:ext xmlns:c16="http://schemas.microsoft.com/office/drawing/2014/chart" uri="{C3380CC4-5D6E-409C-BE32-E72D297353CC}">
              <c16:uniqueId val="{00000007-962E-4FBD-89D0-6E344C85D67A}"/>
            </c:ext>
          </c:extLst>
        </c:ser>
        <c:ser>
          <c:idx val="8"/>
          <c:order val="8"/>
          <c:tx>
            <c:strRef>
              <c:f>'01_MWh GENERACIÓN'!$K$12</c:f>
              <c:strCache>
                <c:ptCount val="1"/>
                <c:pt idx="0">
                  <c:v>FLOREANA
ACEITE DE PIÑON</c:v>
                </c:pt>
              </c:strCache>
            </c:strRef>
          </c:tx>
          <c:spPr>
            <a:solidFill>
              <a:schemeClr val="accent3">
                <a:lumMod val="60000"/>
              </a:schemeClr>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GENERACIÓN'!$K$25:$K$103</c:f>
            </c:numRef>
          </c:val>
          <c:extLst>
            <c:ext xmlns:c16="http://schemas.microsoft.com/office/drawing/2014/chart" uri="{C3380CC4-5D6E-409C-BE32-E72D297353CC}">
              <c16:uniqueId val="{00000008-962E-4FBD-89D0-6E344C85D67A}"/>
            </c:ext>
          </c:extLst>
        </c:ser>
        <c:ser>
          <c:idx val="9"/>
          <c:order val="9"/>
          <c:tx>
            <c:strRef>
              <c:f>'01_MWh GENERACIÓN'!$L$12</c:f>
              <c:strCache>
                <c:ptCount val="1"/>
                <c:pt idx="0">
                  <c:v>FLOREANA
FOTOVOLTAICA</c:v>
                </c:pt>
              </c:strCache>
            </c:strRef>
          </c:tx>
          <c:spPr>
            <a:solidFill>
              <a:schemeClr val="accent4">
                <a:lumMod val="60000"/>
              </a:schemeClr>
            </a:solidFill>
            <a:ln>
              <a:noFill/>
            </a:ln>
            <a:effectLst/>
          </c:spPr>
          <c:invertIfNegative val="0"/>
          <c:cat>
            <c:strRef>
              <c:f>'01_MWh GENERACIÓN'!$A$25:$A$103</c:f>
              <c:strCache>
                <c:ptCount val="7"/>
                <c:pt idx="0">
                  <c:v>TOTAL/11</c:v>
                </c:pt>
                <c:pt idx="1">
                  <c:v>TOTAL/12</c:v>
                </c:pt>
                <c:pt idx="2">
                  <c:v>TOTAL/13</c:v>
                </c:pt>
                <c:pt idx="3">
                  <c:v>TOTAL/14</c:v>
                </c:pt>
                <c:pt idx="4">
                  <c:v>TOTAL/15</c:v>
                </c:pt>
                <c:pt idx="5">
                  <c:v>TOTAL/16</c:v>
                </c:pt>
                <c:pt idx="6">
                  <c:v>TOTAL/17</c:v>
                </c:pt>
              </c:strCache>
            </c:strRef>
          </c:cat>
          <c:val>
            <c:numRef>
              <c:f>'01_MWh GENERACIÓN'!$L$25:$L$103</c:f>
              <c:numCache>
                <c:formatCode>_(* #,##0.00_);_(* \(#,##0.00\);_(* "-"??_);_(@_)</c:formatCode>
                <c:ptCount val="7"/>
                <c:pt idx="0">
                  <c:v>0</c:v>
                </c:pt>
                <c:pt idx="1">
                  <c:v>0</c:v>
                </c:pt>
                <c:pt idx="2">
                  <c:v>0</c:v>
                </c:pt>
                <c:pt idx="3">
                  <c:v>2.858695</c:v>
                </c:pt>
                <c:pt idx="4">
                  <c:v>14.167960000000001</c:v>
                </c:pt>
                <c:pt idx="5">
                  <c:v>23.099938999999999</c:v>
                </c:pt>
                <c:pt idx="6">
                  <c:v>25.167693999999997</c:v>
                </c:pt>
              </c:numCache>
            </c:numRef>
          </c:val>
          <c:extLst>
            <c:ext xmlns:c16="http://schemas.microsoft.com/office/drawing/2014/chart" uri="{C3380CC4-5D6E-409C-BE32-E72D297353CC}">
              <c16:uniqueId val="{00000009-962E-4FBD-89D0-6E344C85D67A}"/>
            </c:ext>
          </c:extLst>
        </c:ser>
        <c:dLbls>
          <c:showLegendKey val="0"/>
          <c:showVal val="0"/>
          <c:showCatName val="0"/>
          <c:showSerName val="0"/>
          <c:showPercent val="0"/>
          <c:showBubbleSize val="0"/>
        </c:dLbls>
        <c:gapWidth val="150"/>
        <c:overlap val="100"/>
        <c:axId val="-941458144"/>
        <c:axId val="-941464672"/>
      </c:barChart>
      <c:catAx>
        <c:axId val="-941458144"/>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crossAx val="-941464672"/>
        <c:crosses val="autoZero"/>
        <c:auto val="1"/>
        <c:lblAlgn val="ctr"/>
        <c:lblOffset val="100"/>
        <c:noMultiLvlLbl val="0"/>
      </c:catAx>
      <c:valAx>
        <c:axId val="-941464672"/>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crossAx val="-941458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'17_Pago horas extras'!$A$48</c:f>
              <c:strCache>
                <c:ptCount val="1"/>
                <c:pt idx="0">
                  <c:v>ADMINISTRACIÓN</c:v>
                </c:pt>
              </c:strCache>
            </c:strRef>
          </c:tx>
          <c:invertIfNegative val="0"/>
          <c:dLbls>
            <c:dLbl>
              <c:idx val="0"/>
              <c:layout>
                <c:manualLayout>
                  <c:x val="-2.9337944241735422E-3"/>
                  <c:y val="-3.6367940467304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0-4618-8D6B-C36805921E95}"/>
                </c:ext>
              </c:extLst>
            </c:dLbl>
            <c:dLbl>
              <c:idx val="1"/>
              <c:layout>
                <c:manualLayout>
                  <c:x val="-1.3580982119202837E-2"/>
                  <c:y val="-3.1981421268048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00-4618-8D6B-C36805921E95}"/>
                </c:ext>
              </c:extLst>
            </c:dLbl>
            <c:dLbl>
              <c:idx val="2"/>
              <c:layout>
                <c:manualLayout>
                  <c:x val="-1.0773512512775052E-2"/>
                  <c:y val="-1.6624231050877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00-4618-8D6B-C36805921E95}"/>
                </c:ext>
              </c:extLst>
            </c:dLbl>
            <c:spPr>
              <a:noFill/>
              <a:ln>
                <a:noFill/>
              </a:ln>
              <a:effectLst/>
            </c:spPr>
            <c:txPr>
              <a:bodyPr/>
              <a:lstStyle/>
              <a:p>
                <a:pPr>
                  <a:defRPr lang="es-ES"/>
                </a:pPr>
                <a:endParaRPr lang="es-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'17_Pago horas extras'!$B$47:$D$47</c:f>
              <c:strCache>
                <c:ptCount val="3"/>
                <c:pt idx="0">
                  <c:v>SAN CRISTÓBAL </c:v>
                </c:pt>
                <c:pt idx="1">
                  <c:v>SANTA CRUZ</c:v>
                </c:pt>
                <c:pt idx="2">
                  <c:v>ISABELA</c:v>
                </c:pt>
              </c:strCache>
            </c:strRef>
          </c:cat>
          <c:val>
            <c:numRef>
              <c:f>'17_Pago horas extras'!$B$48:$D$48</c:f>
              <c:numCache>
                <c:formatCode>#,##0.00</c:formatCode>
                <c:ptCount val="3"/>
                <c:pt idx="0">
                  <c:v>1715.16</c:v>
                </c:pt>
                <c:pt idx="1">
                  <c:v>6188.76</c:v>
                </c:pt>
                <c:pt idx="2">
                  <c:v>6770.21</c:v>
                </c:pt>
              </c:numCache>
            </c:numRef>
          </c:val>
          <c:extLst>
            <c:ext xmlns:c16="http://schemas.microsoft.com/office/drawing/2014/chart" uri="{C3380CC4-5D6E-409C-BE32-E72D297353CC}">
              <c16:uniqueId val="{00000003-2400-4618-8D6B-C36805921E95}"/>
            </c:ext>
          </c:extLst>
        </c:ser>
        <c:ser>
          <c:idx val="1"/>
          <c:order val="1"/>
          <c:tx>
            <c:strRef>
              <c:f>'17_Pago horas extras'!$A$49</c:f>
              <c:strCache>
                <c:ptCount val="1"/>
                <c:pt idx="0">
                  <c:v>GENERACIÓN</c:v>
                </c:pt>
              </c:strCache>
            </c:strRef>
          </c:tx>
          <c:spPr>
            <a:solidFill>
              <a:schemeClr val="accent2">
                <a:lumMod val="75000"/>
              </a:schemeClr>
            </a:solidFill>
          </c:spPr>
          <c:invertIfNegative val="0"/>
          <c:dLbls>
            <c:dLbl>
              <c:idx val="0"/>
              <c:layout>
                <c:manualLayout>
                  <c:x val="2.7026430305991823E-2"/>
                  <c:y val="-1.9961736391431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00-4618-8D6B-C36805921E95}"/>
                </c:ext>
              </c:extLst>
            </c:dLbl>
            <c:dLbl>
              <c:idx val="1"/>
              <c:layout>
                <c:manualLayout>
                  <c:x val="-1.6891518941244941E-3"/>
                  <c:y val="-3.038598273083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00-4618-8D6B-C36805921E95}"/>
                </c:ext>
              </c:extLst>
            </c:dLbl>
            <c:dLbl>
              <c:idx val="2"/>
              <c:layout>
                <c:manualLayout>
                  <c:x val="2.0269822729494034E-2"/>
                  <c:y val="-3.0385982730832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00-4618-8D6B-C36805921E95}"/>
                </c:ext>
              </c:extLst>
            </c:dLbl>
            <c:spPr>
              <a:noFill/>
              <a:ln>
                <a:noFill/>
              </a:ln>
              <a:effectLst/>
            </c:spPr>
            <c:txPr>
              <a:bodyPr/>
              <a:lstStyle/>
              <a:p>
                <a:pPr>
                  <a:defRPr lang="es-ES"/>
                </a:pPr>
                <a:endParaRPr lang="es-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'17_Pago horas extras'!$B$47:$D$47</c:f>
              <c:strCache>
                <c:ptCount val="3"/>
                <c:pt idx="0">
                  <c:v>SAN CRISTÓBAL </c:v>
                </c:pt>
                <c:pt idx="1">
                  <c:v>SANTA CRUZ</c:v>
                </c:pt>
                <c:pt idx="2">
                  <c:v>ISABELA</c:v>
                </c:pt>
              </c:strCache>
            </c:strRef>
          </c:cat>
          <c:val>
            <c:numRef>
              <c:f>'17_Pago horas extras'!$B$49:$D$49</c:f>
              <c:numCache>
                <c:formatCode>#,##0.00</c:formatCode>
                <c:ptCount val="3"/>
                <c:pt idx="0">
                  <c:v>52876.11</c:v>
                </c:pt>
                <c:pt idx="1">
                  <c:v>38745.5</c:v>
                </c:pt>
                <c:pt idx="2">
                  <c:v>22114.32</c:v>
                </c:pt>
              </c:numCache>
            </c:numRef>
          </c:val>
          <c:extLst>
            <c:ext xmlns:c16="http://schemas.microsoft.com/office/drawing/2014/chart" uri="{C3380CC4-5D6E-409C-BE32-E72D297353CC}">
              <c16:uniqueId val="{00000007-2400-4618-8D6B-C36805921E95}"/>
            </c:ext>
          </c:extLst>
        </c:ser>
        <c:ser>
          <c:idx val="2"/>
          <c:order val="2"/>
          <c:tx>
            <c:strRef>
              <c:f>'17_Pago horas extras'!$A$50</c:f>
              <c:strCache>
                <c:ptCount val="1"/>
                <c:pt idx="0">
                  <c:v>DISTRIBUCIÓN</c:v>
                </c:pt>
              </c:strCache>
            </c:strRef>
          </c:tx>
          <c:invertIfNegative val="0"/>
          <c:dLbls>
            <c:dLbl>
              <c:idx val="0"/>
              <c:layout>
                <c:manualLayout>
                  <c:x val="3.0449157459015636E-2"/>
                  <c:y val="-9.29494052452315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00-4618-8D6B-C36805921E95}"/>
                </c:ext>
              </c:extLst>
            </c:dLbl>
            <c:dLbl>
              <c:idx val="1"/>
              <c:layout>
                <c:manualLayout>
                  <c:x val="3.0804810385384723E-2"/>
                  <c:y val="-1.026543770918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00-4618-8D6B-C36805921E95}"/>
                </c:ext>
              </c:extLst>
            </c:dLbl>
            <c:dLbl>
              <c:idx val="2"/>
              <c:layout>
                <c:manualLayout>
                  <c:x val="2.9337944241735421E-2"/>
                  <c:y val="-4.0408822741449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400-4618-8D6B-C36805921E95}"/>
                </c:ext>
              </c:extLst>
            </c:dLbl>
            <c:spPr>
              <a:noFill/>
              <a:ln>
                <a:noFill/>
              </a:ln>
              <a:effectLst/>
            </c:spPr>
            <c:txPr>
              <a:bodyPr/>
              <a:lstStyle/>
              <a:p>
                <a:pPr>
                  <a:defRPr lang="es-ES"/>
                </a:pPr>
                <a:endParaRPr lang="es-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'17_Pago horas extras'!$B$47:$D$47</c:f>
              <c:strCache>
                <c:ptCount val="3"/>
                <c:pt idx="0">
                  <c:v>SAN CRISTÓBAL </c:v>
                </c:pt>
                <c:pt idx="1">
                  <c:v>SANTA CRUZ</c:v>
                </c:pt>
                <c:pt idx="2">
                  <c:v>ISABELA</c:v>
                </c:pt>
              </c:strCache>
            </c:strRef>
          </c:cat>
          <c:val>
            <c:numRef>
              <c:f>'17_Pago horas extras'!$B$50:$D$50</c:f>
              <c:numCache>
                <c:formatCode>#,##0.00</c:formatCode>
                <c:ptCount val="3"/>
                <c:pt idx="0">
                  <c:v>24054.21</c:v>
                </c:pt>
                <c:pt idx="1">
                  <c:v>34315.800000000003</c:v>
                </c:pt>
                <c:pt idx="2">
                  <c:v>9902.0499999999993</c:v>
                </c:pt>
              </c:numCache>
            </c:numRef>
          </c:val>
          <c:extLst>
            <c:ext xmlns:c16="http://schemas.microsoft.com/office/drawing/2014/chart" uri="{C3380CC4-5D6E-409C-BE32-E72D297353CC}">
              <c16:uniqueId val="{0000000B-2400-4618-8D6B-C36805921E95}"/>
            </c:ext>
          </c:extLst>
        </c:ser>
        <c:dLbls>
          <c:showLegendKey val="0"/>
          <c:showVal val="0"/>
          <c:showCatName val="0"/>
          <c:showSerName val="0"/>
          <c:showPercent val="0"/>
          <c:showBubbleSize val="0"/>
        </c:dLbls>
        <c:gapWidth val="150"/>
        <c:shape val="box"/>
        <c:axId val="-937681488"/>
        <c:axId val="-937680400"/>
        <c:axId val="0"/>
      </c:bar3DChart>
      <c:catAx>
        <c:axId val="-937681488"/>
        <c:scaling>
          <c:orientation val="minMax"/>
        </c:scaling>
        <c:delete val="0"/>
        <c:axPos val="b"/>
        <c:numFmt formatCode="General" sourceLinked="1"/>
        <c:majorTickMark val="out"/>
        <c:minorTickMark val="none"/>
        <c:tickLblPos val="nextTo"/>
        <c:txPr>
          <a:bodyPr/>
          <a:lstStyle/>
          <a:p>
            <a:pPr>
              <a:defRPr lang="es-ES"/>
            </a:pPr>
            <a:endParaRPr lang="es-US"/>
          </a:p>
        </c:txPr>
        <c:crossAx val="-937680400"/>
        <c:crosses val="autoZero"/>
        <c:auto val="1"/>
        <c:lblAlgn val="ctr"/>
        <c:lblOffset val="100"/>
        <c:noMultiLvlLbl val="0"/>
      </c:catAx>
      <c:valAx>
        <c:axId val="-937680400"/>
        <c:scaling>
          <c:orientation val="minMax"/>
        </c:scaling>
        <c:delete val="0"/>
        <c:axPos val="l"/>
        <c:majorGridlines/>
        <c:numFmt formatCode="#,##0.00" sourceLinked="1"/>
        <c:majorTickMark val="out"/>
        <c:minorTickMark val="none"/>
        <c:tickLblPos val="nextTo"/>
        <c:txPr>
          <a:bodyPr/>
          <a:lstStyle/>
          <a:p>
            <a:pPr>
              <a:defRPr lang="es-ES"/>
            </a:pPr>
            <a:endParaRPr lang="es-US"/>
          </a:p>
        </c:txPr>
        <c:crossAx val="-937681488"/>
        <c:crosses val="autoZero"/>
        <c:crossBetween val="between"/>
      </c:valAx>
      <c:spPr>
        <a:noFill/>
        <a:ln w="25400">
          <a:noFill/>
        </a:ln>
      </c:spPr>
    </c:plotArea>
    <c:legend>
      <c:legendPos val="r"/>
      <c:overlay val="0"/>
      <c:txPr>
        <a:bodyPr/>
        <a:lstStyle/>
        <a:p>
          <a:pPr>
            <a:defRPr lang="es-ES"/>
          </a:pPr>
          <a:endParaRPr lang="es-US"/>
        </a:p>
      </c:txPr>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cap="none" spc="20" baseline="0">
                <a:solidFill>
                  <a:schemeClr val="dk1">
                    <a:lumMod val="50000"/>
                    <a:lumOff val="50000"/>
                  </a:schemeClr>
                </a:solidFill>
                <a:latin typeface="+mn-lt"/>
                <a:ea typeface="+mn-ea"/>
                <a:cs typeface="+mn-cs"/>
              </a:defRPr>
            </a:pPr>
            <a:r>
              <a:rPr lang="es-EC"/>
              <a:t>Comportamiento histórico del indicador </a:t>
            </a:r>
          </a:p>
        </c:rich>
      </c:tx>
      <c:layout>
        <c:manualLayout>
          <c:xMode val="edge"/>
          <c:yMode val="edge"/>
          <c:x val="1.7813094108971462E-2"/>
          <c:y val="3.1139250723147573E-2"/>
        </c:manualLayout>
      </c:layout>
      <c:overlay val="0"/>
      <c:spPr>
        <a:noFill/>
        <a:ln>
          <a:noFill/>
        </a:ln>
        <a:effectLst/>
      </c:spPr>
    </c:title>
    <c:autoTitleDeleted val="0"/>
    <c:plotArea>
      <c:layout>
        <c:manualLayout>
          <c:layoutTarget val="inner"/>
          <c:xMode val="edge"/>
          <c:yMode val="edge"/>
          <c:x val="7.2412042547498917E-2"/>
          <c:y val="0.176829466555111"/>
          <c:w val="0.89805405514004544"/>
          <c:h val="0.57806769822959281"/>
        </c:manualLayout>
      </c:layout>
      <c:lineChart>
        <c:grouping val="standard"/>
        <c:varyColors val="0"/>
        <c:ser>
          <c:idx val="1"/>
          <c:order val="0"/>
          <c:tx>
            <c:strRef>
              <c:f>'18_ISC '!$A$17</c:f>
              <c:strCache>
                <c:ptCount val="1"/>
                <c:pt idx="0">
                  <c:v>Historico</c:v>
                </c:pt>
              </c:strCache>
            </c:strRef>
          </c:tx>
          <c:spPr>
            <a:ln w="22225" cap="rnd" cmpd="sng" algn="ctr">
              <a:solidFill>
                <a:schemeClr val="accent2"/>
              </a:solidFill>
              <a:round/>
            </a:ln>
            <a:effectLst/>
          </c:spPr>
          <c:marker>
            <c:symbol val="none"/>
          </c:marker>
          <c:dLbls>
            <c:dLbl>
              <c:idx val="2"/>
              <c:layout>
                <c:manualLayout>
                  <c:x val="-2.0130288681562792E-2"/>
                  <c:y val="-6.718777620709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9-4AC9-B31F-BC9D9E24ED22}"/>
                </c:ext>
              </c:extLst>
            </c:dLbl>
            <c:spPr>
              <a:noFill/>
              <a:ln>
                <a:noFill/>
              </a:ln>
              <a:effectLst/>
            </c:spPr>
            <c:txPr>
              <a:bodyPr rot="0" spcFirstLastPara="1" vertOverflow="ellipsis" vert="horz" wrap="square" lIns="38100" tIns="19050" rIns="38100" bIns="19050" anchor="ctr" anchorCtr="1">
                <a:spAutoFit/>
              </a:bodyPr>
              <a:lstStyle/>
              <a:p>
                <a:pPr>
                  <a:defRPr lang="es-ES" sz="900" b="0" i="0" u="none" strike="noStrike" kern="1200" baseline="0">
                    <a:solidFill>
                      <a:schemeClr val="dk1">
                        <a:lumMod val="65000"/>
                        <a:lumOff val="35000"/>
                      </a:schemeClr>
                    </a:solidFill>
                    <a:latin typeface="+mn-lt"/>
                    <a:ea typeface="+mn-ea"/>
                    <a:cs typeface="+mn-cs"/>
                  </a:defRPr>
                </a:pPr>
                <a:endParaRPr lang="es-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'18_ISC '!$D$16:$J$17</c:f>
              <c:multiLvlStrCache>
                <c:ptCount val="7"/>
                <c:lvl>
                  <c:pt idx="0">
                    <c:v>31%</c:v>
                  </c:pt>
                  <c:pt idx="1">
                    <c:v>54.51%</c:v>
                  </c:pt>
                  <c:pt idx="2">
                    <c:v>65.82%</c:v>
                  </c:pt>
                  <c:pt idx="3">
                    <c:v>64.33%</c:v>
                  </c:pt>
                  <c:pt idx="4">
                    <c:v>71.03%</c:v>
                  </c:pt>
                  <c:pt idx="5">
                    <c:v>74.97%</c:v>
                  </c:pt>
                  <c:pt idx="6">
                    <c:v>80.31%</c:v>
                  </c:pt>
                </c:lvl>
                <c:lvl>
                  <c:pt idx="0">
                    <c:v>2012</c:v>
                  </c:pt>
                  <c:pt idx="1">
                    <c:v>2013</c:v>
                  </c:pt>
                  <c:pt idx="2">
                    <c:v>2014</c:v>
                  </c:pt>
                  <c:pt idx="3">
                    <c:v>2015</c:v>
                  </c:pt>
                  <c:pt idx="4">
                    <c:v>2016</c:v>
                  </c:pt>
                  <c:pt idx="5">
                    <c:v>2017</c:v>
                  </c:pt>
                  <c:pt idx="6">
                    <c:v>2018</c:v>
                  </c:pt>
                </c:lvl>
              </c:multiLvlStrCache>
            </c:multiLvlStrRef>
          </c:cat>
          <c:val>
            <c:numRef>
              <c:f>'18_ISC '!$D$17:$J$17</c:f>
              <c:numCache>
                <c:formatCode>0.00%</c:formatCode>
                <c:ptCount val="7"/>
                <c:pt idx="0" formatCode="0%">
                  <c:v>0.31</c:v>
                </c:pt>
                <c:pt idx="1">
                  <c:v>0.54510000000000003</c:v>
                </c:pt>
                <c:pt idx="2">
                  <c:v>0.65820000000000001</c:v>
                </c:pt>
                <c:pt idx="3">
                  <c:v>0.64329999999999998</c:v>
                </c:pt>
                <c:pt idx="4">
                  <c:v>0.71030000000000004</c:v>
                </c:pt>
                <c:pt idx="5">
                  <c:v>0.74970000000000003</c:v>
                </c:pt>
                <c:pt idx="6">
                  <c:v>0.80310000000000004</c:v>
                </c:pt>
              </c:numCache>
            </c:numRef>
          </c:val>
          <c:smooth val="0"/>
          <c:extLst>
            <c:ext xmlns:c16="http://schemas.microsoft.com/office/drawing/2014/chart" uri="{C3380CC4-5D6E-409C-BE32-E72D297353CC}">
              <c16:uniqueId val="{00000001-8169-4AC9-B31F-BC9D9E24ED2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37678224"/>
        <c:axId val="-937677680"/>
      </c:lineChart>
      <c:catAx>
        <c:axId val="-93767822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lang="es-ES" sz="900" b="0" i="0" u="none" strike="noStrike" kern="1200" spc="20" baseline="0">
                <a:solidFill>
                  <a:schemeClr val="dk1">
                    <a:lumMod val="65000"/>
                    <a:lumOff val="35000"/>
                  </a:schemeClr>
                </a:solidFill>
                <a:latin typeface="+mn-lt"/>
                <a:ea typeface="+mn-ea"/>
                <a:cs typeface="+mn-cs"/>
              </a:defRPr>
            </a:pPr>
            <a:endParaRPr lang="es-US"/>
          </a:p>
        </c:txPr>
        <c:crossAx val="-937677680"/>
        <c:crosses val="autoZero"/>
        <c:auto val="1"/>
        <c:lblAlgn val="ctr"/>
        <c:lblOffset val="100"/>
        <c:tickLblSkip val="1"/>
        <c:tickMarkSkip val="1"/>
        <c:noMultiLvlLbl val="0"/>
      </c:catAx>
      <c:valAx>
        <c:axId val="-937677680"/>
        <c:scaling>
          <c:orientation val="minMax"/>
        </c:scaling>
        <c:delete val="0"/>
        <c:axPos val="l"/>
        <c:title>
          <c:tx>
            <c:rich>
              <a:bodyPr rot="-5400000" spcFirstLastPara="1" vertOverflow="ellipsis" vert="horz" wrap="square" anchor="ctr" anchorCtr="1"/>
              <a:lstStyle/>
              <a:p>
                <a:pPr>
                  <a:defRPr lang="es-ES" sz="900" b="0" i="0" u="none" strike="noStrike" kern="1200" cap="all" baseline="0">
                    <a:solidFill>
                      <a:schemeClr val="dk1">
                        <a:lumMod val="65000"/>
                        <a:lumOff val="35000"/>
                      </a:schemeClr>
                    </a:solidFill>
                    <a:latin typeface="+mn-lt"/>
                    <a:ea typeface="+mn-ea"/>
                    <a:cs typeface="+mn-cs"/>
                  </a:defRPr>
                </a:pPr>
                <a:r>
                  <a:rPr lang="es-EC"/>
                  <a:t>ICP</a:t>
                </a:r>
              </a:p>
            </c:rich>
          </c:tx>
          <c:layout>
            <c:manualLayout>
              <c:xMode val="edge"/>
              <c:yMode val="edge"/>
              <c:x val="4.7483113602154155E-3"/>
              <c:y val="0.44207349081364838"/>
            </c:manualLayout>
          </c:layout>
          <c:overlay val="0"/>
          <c:spPr>
            <a:noFill/>
            <a:ln>
              <a:noFill/>
            </a:ln>
            <a:effectLst/>
          </c:spPr>
        </c:title>
        <c:numFmt formatCode="0.0%" sourceLinked="0"/>
        <c:majorTickMark val="none"/>
        <c:minorTickMark val="none"/>
        <c:tickLblPos val="nextTo"/>
        <c:spPr>
          <a:noFill/>
          <a:ln>
            <a:noFill/>
          </a:ln>
          <a:effectLst/>
        </c:spPr>
        <c:txPr>
          <a:bodyPr rot="0" spcFirstLastPara="1" vertOverflow="ellipsis" wrap="square" anchor="ctr" anchorCtr="1"/>
          <a:lstStyle/>
          <a:p>
            <a:pPr>
              <a:defRPr lang="es-ES" sz="900" b="0" i="0" u="none" strike="noStrike" kern="1200" spc="20" baseline="0">
                <a:solidFill>
                  <a:schemeClr val="dk1">
                    <a:lumMod val="65000"/>
                    <a:lumOff val="35000"/>
                  </a:schemeClr>
                </a:solidFill>
                <a:latin typeface="+mn-lt"/>
                <a:ea typeface="+mn-ea"/>
                <a:cs typeface="+mn-cs"/>
              </a:defRPr>
            </a:pPr>
            <a:endParaRPr lang="es-US"/>
          </a:p>
        </c:txPr>
        <c:crossAx val="-93767822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US"/>
    </a:p>
  </c:txPr>
  <c:printSettings>
    <c:headerFooter alignWithMargins="0"/>
    <c:pageMargins b="1" l="0.75000000000000189" r="0.75000000000000189"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C" sz="1400"/>
              <a:t>Ejecución</a:t>
            </a:r>
            <a:r>
              <a:rPr lang="es-EC" sz="1400" baseline="0"/>
              <a:t> y avance del presupuesto 2018</a:t>
            </a:r>
            <a:endParaRPr lang="es-EC" sz="1400"/>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US"/>
        </a:p>
      </c:txPr>
    </c:title>
    <c:autoTitleDeleted val="0"/>
    <c:plotArea>
      <c:layout>
        <c:manualLayout>
          <c:layoutTarget val="inner"/>
          <c:xMode val="edge"/>
          <c:yMode val="edge"/>
          <c:x val="3.0147384234126426E-2"/>
          <c:y val="5.4349597630250476E-2"/>
          <c:w val="0.96276198019731729"/>
          <c:h val="0.63415131725316243"/>
        </c:manualLayout>
      </c:layout>
      <c:barChart>
        <c:barDir val="col"/>
        <c:grouping val="clustered"/>
        <c:varyColors val="0"/>
        <c:ser>
          <c:idx val="2"/>
          <c:order val="0"/>
          <c:tx>
            <c:strRef>
              <c:f>'19 PRESUPUESTO  '!$B$15:$D$15</c:f>
              <c:strCache>
                <c:ptCount val="1"/>
                <c:pt idx="0">
                  <c:v>PRESUPUESTO DE OPERACIÓN</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'19 PRESUPUESTO  '!$A$61:$A$73</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'19 PRESUPUESTO  '!$D$61:$D$73</c:f>
              <c:numCache>
                <c:formatCode>_(* #,##0.00_);_(* \(#,##0.00\);_(* "-"??_);_(@_)</c:formatCode>
                <c:ptCount val="13"/>
                <c:pt idx="0">
                  <c:v>48.204695571675579</c:v>
                </c:pt>
                <c:pt idx="1">
                  <c:v>54.008619067084076</c:v>
                </c:pt>
                <c:pt idx="2">
                  <c:v>59.832060469849537</c:v>
                </c:pt>
                <c:pt idx="3">
                  <c:v>72.5581759358612</c:v>
                </c:pt>
                <c:pt idx="4">
                  <c:v>2.4059623990139061</c:v>
                </c:pt>
                <c:pt idx="5">
                  <c:v>5.1346863746740654</c:v>
                </c:pt>
                <c:pt idx="6">
                  <c:v>8.4404960658573476</c:v>
                </c:pt>
                <c:pt idx="7">
                  <c:v>11.654656591021132</c:v>
                </c:pt>
                <c:pt idx="8">
                  <c:v>24.174637581624278</c:v>
                </c:pt>
                <c:pt idx="9">
                  <c:v>30.042065243375056</c:v>
                </c:pt>
                <c:pt idx="10">
                  <c:v>36.178890440570477</c:v>
                </c:pt>
                <c:pt idx="11">
                  <c:v>42.087895850414689</c:v>
                </c:pt>
                <c:pt idx="12">
                  <c:v>46.95</c:v>
                </c:pt>
              </c:numCache>
            </c:numRef>
          </c:val>
          <c:extLst>
            <c:ext xmlns:c16="http://schemas.microsoft.com/office/drawing/2014/chart" uri="{C3380CC4-5D6E-409C-BE32-E72D297353CC}">
              <c16:uniqueId val="{00000008-4855-4720-9A76-36FEA68B4E36}"/>
            </c:ext>
          </c:extLst>
        </c:ser>
        <c:ser>
          <c:idx val="0"/>
          <c:order val="1"/>
          <c:tx>
            <c:strRef>
              <c:f>'19 PRESUPUESTO  '!$E$15:$G$15</c:f>
              <c:strCache>
                <c:ptCount val="1"/>
                <c:pt idx="0">
                  <c:v>PRESUPUESTO DE INVERSIONES</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'19 PRESUPUESTO  '!$A$61:$A$73</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'19 PRESUPUESTO  '!$G$61:$G$73</c:f>
              <c:numCache>
                <c:formatCode>_(* #,##0.00_);_(* \(#,##0.00\);_(* "-"??_);_(@_)</c:formatCode>
                <c:ptCount val="13"/>
                <c:pt idx="0">
                  <c:v>22.371819816586473</c:v>
                </c:pt>
                <c:pt idx="1">
                  <c:v>24.381598609457782</c:v>
                </c:pt>
                <c:pt idx="2">
                  <c:v>27.691671507171616</c:v>
                </c:pt>
                <c:pt idx="3">
                  <c:v>34.257909344785133</c:v>
                </c:pt>
                <c:pt idx="4">
                  <c:v>3.0280062768533655</c:v>
                </c:pt>
                <c:pt idx="5">
                  <c:v>3.3813711256312344</c:v>
                </c:pt>
                <c:pt idx="6">
                  <c:v>5.641174527725112</c:v>
                </c:pt>
                <c:pt idx="7">
                  <c:v>7.9377972432402357</c:v>
                </c:pt>
                <c:pt idx="8">
                  <c:v>9.4652094931433872</c:v>
                </c:pt>
                <c:pt idx="9">
                  <c:v>12.037063793125256</c:v>
                </c:pt>
                <c:pt idx="10">
                  <c:v>17.678505501733653</c:v>
                </c:pt>
                <c:pt idx="11">
                  <c:v>21.286151639557389</c:v>
                </c:pt>
                <c:pt idx="12">
                  <c:v>25.41</c:v>
                </c:pt>
              </c:numCache>
            </c:numRef>
          </c:val>
          <c:extLst>
            <c:ext xmlns:c16="http://schemas.microsoft.com/office/drawing/2014/chart" uri="{C3380CC4-5D6E-409C-BE32-E72D297353CC}">
              <c16:uniqueId val="{00000013-4855-4720-9A76-36FEA68B4E36}"/>
            </c:ext>
          </c:extLst>
        </c:ser>
        <c:dLbls>
          <c:dLblPos val="outEnd"/>
          <c:showLegendKey val="0"/>
          <c:showVal val="1"/>
          <c:showCatName val="0"/>
          <c:showSerName val="0"/>
          <c:showPercent val="0"/>
          <c:showBubbleSize val="0"/>
        </c:dLbls>
        <c:gapWidth val="444"/>
        <c:overlap val="-90"/>
        <c:axId val="-935439040"/>
        <c:axId val="-935446656"/>
      </c:barChart>
      <c:catAx>
        <c:axId val="-93543904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US"/>
          </a:p>
        </c:txPr>
        <c:crossAx val="-935446656"/>
        <c:crosses val="autoZero"/>
        <c:auto val="0"/>
        <c:lblAlgn val="ctr"/>
        <c:lblOffset val="100"/>
        <c:noMultiLvlLbl val="0"/>
      </c:catAx>
      <c:valAx>
        <c:axId val="-935446656"/>
        <c:scaling>
          <c:orientation val="minMax"/>
          <c:max val="100"/>
          <c:min val="0"/>
        </c:scaling>
        <c:delete val="1"/>
        <c:axPos val="l"/>
        <c:numFmt formatCode="0.0" sourceLinked="0"/>
        <c:majorTickMark val="none"/>
        <c:minorTickMark val="none"/>
        <c:tickLblPos val="none"/>
        <c:crossAx val="-935439040"/>
        <c:crosses val="autoZero"/>
        <c:crossBetween val="between"/>
        <c:majorUnit val="10"/>
        <c:minorUnit val="0.2"/>
      </c:valAx>
      <c:spPr>
        <a:noFill/>
        <a:ln>
          <a:noFill/>
        </a:ln>
        <a:effectLst/>
      </c:spPr>
    </c:plotArea>
    <c:legend>
      <c:legendPos val="t"/>
      <c:layout>
        <c:manualLayout>
          <c:xMode val="edge"/>
          <c:yMode val="edge"/>
          <c:x val="0.15185429741339682"/>
          <c:y val="0.83497414629143651"/>
          <c:w val="0.701018479884436"/>
          <c:h val="4.5599635396963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legend>
    <c:plotVisOnly val="0"/>
    <c:dispBlanksAs val="span"/>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US"/>
    </a:p>
  </c:txPr>
  <c:printSettings>
    <c:headerFooter alignWithMargins="0"/>
    <c:pageMargins b="1" l="0.75000000000000344" r="0.75000000000000344" t="1" header="0" footer="0"/>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600" b="0" i="0" u="none" strike="noStrike" kern="1200" cap="none" spc="50" normalizeH="0" baseline="0">
                <a:solidFill>
                  <a:schemeClr val="tx1">
                    <a:lumMod val="65000"/>
                    <a:lumOff val="35000"/>
                  </a:schemeClr>
                </a:solidFill>
                <a:latin typeface="+mj-lt"/>
                <a:ea typeface="+mj-ea"/>
                <a:cs typeface="+mj-cs"/>
              </a:defRPr>
            </a:pPr>
            <a:r>
              <a:rPr lang="en-US"/>
              <a:t>PROCESOS DE CONTRATACIÓN</a:t>
            </a:r>
            <a:r>
              <a:rPr lang="en-US" baseline="0"/>
              <a:t> </a:t>
            </a:r>
          </a:p>
          <a:p>
            <a:pPr>
              <a:defRPr lang="es-ES" sz="1600" b="0" i="0" u="none" strike="noStrike" kern="1200" cap="none" spc="50" normalizeH="0" baseline="0">
                <a:solidFill>
                  <a:schemeClr val="tx1">
                    <a:lumMod val="65000"/>
                    <a:lumOff val="35000"/>
                  </a:schemeClr>
                </a:solidFill>
                <a:latin typeface="+mj-lt"/>
                <a:ea typeface="+mj-ea"/>
                <a:cs typeface="+mj-cs"/>
              </a:defRPr>
            </a:pPr>
            <a:r>
              <a:rPr lang="en-US" baseline="0"/>
              <a:t>SEPTIEMBRE 2017</a:t>
            </a:r>
            <a:r>
              <a:rPr lang="en-US"/>
              <a:t> - </a:t>
            </a:r>
            <a:r>
              <a:rPr lang="en-US" baseline="0"/>
              <a:t> AGOSTO 2018</a:t>
            </a:r>
            <a:endParaRPr lang="en-US"/>
          </a:p>
        </c:rich>
      </c:tx>
      <c:overlay val="0"/>
      <c:spPr>
        <a:noFill/>
        <a:ln>
          <a:noFill/>
        </a:ln>
        <a:effectLst/>
      </c:spPr>
    </c:title>
    <c:autoTitleDeleted val="0"/>
    <c:plotArea>
      <c:layout/>
      <c:barChart>
        <c:barDir val="col"/>
        <c:grouping val="clustered"/>
        <c:varyColors val="0"/>
        <c:ser>
          <c:idx val="0"/>
          <c:order val="0"/>
          <c:spPr>
            <a:solidFill>
              <a:schemeClr val="accent1">
                <a:alpha val="70000"/>
              </a:schemeClr>
            </a:solidFill>
            <a:ln>
              <a:noFill/>
            </a:ln>
            <a:effectLst/>
          </c:spPr>
          <c:invertIfNegative val="0"/>
          <c:dLbls>
            <c:spPr>
              <a:solidFill>
                <a:schemeClr val="tx2">
                  <a:lumMod val="75000"/>
                </a:schemeClr>
              </a:solidFill>
              <a:ln>
                <a:noFill/>
              </a:ln>
              <a:effectLst/>
            </c:spPr>
            <c:txPr>
              <a:bodyPr rot="0" spcFirstLastPara="1" vertOverflow="ellipsis" vert="horz" wrap="square" lIns="38100" tIns="19050" rIns="38100" bIns="19050" anchor="ctr" anchorCtr="1">
                <a:spAutoFit/>
              </a:bodyPr>
              <a:lstStyle/>
              <a:p>
                <a:pPr>
                  <a:defRPr lang="es-ES" sz="1050" b="1" i="0" u="none" strike="noStrike" kern="1200" baseline="0">
                    <a:solidFill>
                      <a:schemeClr val="bg1"/>
                    </a:solidFill>
                    <a:latin typeface="+mn-lt"/>
                    <a:ea typeface="+mn-ea"/>
                    <a:cs typeface="+mn-cs"/>
                  </a:defRPr>
                </a:pPr>
                <a:endParaRPr lang="es-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'20 COMPRAS '!$B$13:$R$13</c:f>
              <c:strCache>
                <c:ptCount val="17"/>
                <c:pt idx="0">
                  <c:v>Ínfima Cuantía</c:v>
                </c:pt>
                <c:pt idx="1">
                  <c:v>Menor  Cuantía de Bienes y Servicios</c:v>
                </c:pt>
                <c:pt idx="2">
                  <c:v>Licitación de Servicios</c:v>
                </c:pt>
                <c:pt idx="3">
                  <c:v>Subasta Inversa Electrónica</c:v>
                </c:pt>
                <c:pt idx="4">
                  <c:v>Catálogo Electrónico</c:v>
                </c:pt>
                <c:pt idx="5">
                  <c:v>Contratación Directa de Consultoría</c:v>
                </c:pt>
                <c:pt idx="6">
                  <c:v>Consultoria Lista Corta</c:v>
                </c:pt>
                <c:pt idx="7">
                  <c:v>Menor Cuantía de Obras</c:v>
                </c:pt>
                <c:pt idx="8">
                  <c:v>Cotización de obra</c:v>
                </c:pt>
                <c:pt idx="9">
                  <c:v>Régimen Especial</c:v>
                </c:pt>
                <c:pt idx="10">
                  <c:v>BID III</c:v>
                </c:pt>
                <c:pt idx="11">
                  <c:v>ADF</c:v>
                </c:pt>
                <c:pt idx="12">
                  <c:v>FERUM BID II</c:v>
                </c:pt>
                <c:pt idx="13">
                  <c:v>COTO</c:v>
                </c:pt>
                <c:pt idx="14">
                  <c:v>CAF</c:v>
                </c:pt>
                <c:pt idx="15">
                  <c:v>BID I</c:v>
                </c:pt>
                <c:pt idx="16">
                  <c:v>Declarados desiertos</c:v>
                </c:pt>
              </c:strCache>
            </c:strRef>
          </c:cat>
          <c:val>
            <c:numRef>
              <c:f>'20 COMPRAS '!$B$72:$R$72</c:f>
              <c:numCache>
                <c:formatCode>_(* #,##0_);_(* \(#,##0\);_(* "-"??_);_(@_)</c:formatCode>
                <c:ptCount val="17"/>
                <c:pt idx="0">
                  <c:v>215</c:v>
                </c:pt>
                <c:pt idx="1">
                  <c:v>5</c:v>
                </c:pt>
                <c:pt idx="2">
                  <c:v>0</c:v>
                </c:pt>
                <c:pt idx="3">
                  <c:v>30</c:v>
                </c:pt>
                <c:pt idx="4">
                  <c:v>11</c:v>
                </c:pt>
                <c:pt idx="5">
                  <c:v>6</c:v>
                </c:pt>
                <c:pt idx="6">
                  <c:v>1</c:v>
                </c:pt>
                <c:pt idx="7">
                  <c:v>3</c:v>
                </c:pt>
                <c:pt idx="8">
                  <c:v>6</c:v>
                </c:pt>
                <c:pt idx="9">
                  <c:v>1</c:v>
                </c:pt>
                <c:pt idx="10">
                  <c:v>1</c:v>
                </c:pt>
                <c:pt idx="11">
                  <c:v>0</c:v>
                </c:pt>
                <c:pt idx="12">
                  <c:v>0</c:v>
                </c:pt>
                <c:pt idx="13">
                  <c:v>0</c:v>
                </c:pt>
                <c:pt idx="14">
                  <c:v>0</c:v>
                </c:pt>
                <c:pt idx="15">
                  <c:v>0</c:v>
                </c:pt>
                <c:pt idx="16">
                  <c:v>9</c:v>
                </c:pt>
              </c:numCache>
            </c:numRef>
          </c:val>
          <c:extLst>
            <c:ext xmlns:c16="http://schemas.microsoft.com/office/drawing/2014/chart" uri="{C3380CC4-5D6E-409C-BE32-E72D297353CC}">
              <c16:uniqueId val="{00000000-8270-4352-9376-4F0FA3BF169A}"/>
            </c:ext>
          </c:extLst>
        </c:ser>
        <c:dLbls>
          <c:showLegendKey val="0"/>
          <c:showVal val="1"/>
          <c:showCatName val="0"/>
          <c:showSerName val="0"/>
          <c:showPercent val="0"/>
          <c:showBubbleSize val="0"/>
        </c:dLbls>
        <c:gapWidth val="80"/>
        <c:overlap val="25"/>
        <c:axId val="-935438496"/>
        <c:axId val="-935443392"/>
      </c:barChart>
      <c:catAx>
        <c:axId val="-93543849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lang="es-ES" sz="900" b="0" i="0" u="none" strike="noStrike" kern="1200" cap="none" spc="20" normalizeH="0" baseline="0">
                <a:solidFill>
                  <a:schemeClr val="tx1">
                    <a:lumMod val="65000"/>
                    <a:lumOff val="35000"/>
                  </a:schemeClr>
                </a:solidFill>
                <a:latin typeface="+mn-lt"/>
                <a:ea typeface="+mn-ea"/>
                <a:cs typeface="+mn-cs"/>
              </a:defRPr>
            </a:pPr>
            <a:endParaRPr lang="es-US"/>
          </a:p>
        </c:txPr>
        <c:crossAx val="-935443392"/>
        <c:crosses val="autoZero"/>
        <c:auto val="1"/>
        <c:lblAlgn val="ctr"/>
        <c:lblOffset val="100"/>
        <c:noMultiLvlLbl val="1"/>
      </c:catAx>
      <c:valAx>
        <c:axId val="-935443392"/>
        <c:scaling>
          <c:orientation val="minMax"/>
        </c:scaling>
        <c:delete val="0"/>
        <c:axPos val="l"/>
        <c:majorGridlines>
          <c:spPr>
            <a:ln w="9525" cap="flat" cmpd="sng" algn="ctr">
              <a:solidFill>
                <a:schemeClr val="tx1">
                  <a:lumMod val="5000"/>
                  <a:lumOff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spc="20" baseline="0">
                <a:solidFill>
                  <a:schemeClr val="tx1">
                    <a:lumMod val="65000"/>
                    <a:lumOff val="35000"/>
                  </a:schemeClr>
                </a:solidFill>
                <a:latin typeface="+mn-lt"/>
                <a:ea typeface="+mn-ea"/>
                <a:cs typeface="+mn-cs"/>
              </a:defRPr>
            </a:pPr>
            <a:endParaRPr lang="es-US"/>
          </a:p>
        </c:txPr>
        <c:crossAx val="-93543849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 l="0.25" r="0.25"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t>PLAN</a:t>
            </a:r>
            <a:r>
              <a:rPr lang="es-EC" sz="1400" baseline="0"/>
              <a:t> RENOVA</a:t>
            </a:r>
            <a:endParaRPr lang="es-EC" sz="1400"/>
          </a:p>
        </c:rich>
      </c:tx>
      <c:overlay val="0"/>
    </c:title>
    <c:autoTitleDeleted val="0"/>
    <c:plotArea>
      <c:layout>
        <c:manualLayout>
          <c:layoutTarget val="inner"/>
          <c:xMode val="edge"/>
          <c:yMode val="edge"/>
          <c:x val="6.0656558435633751E-2"/>
          <c:y val="0.13214828069727805"/>
          <c:w val="0.91843813109816608"/>
          <c:h val="0.69327229856231443"/>
        </c:manualLayout>
      </c:layout>
      <c:barChart>
        <c:barDir val="col"/>
        <c:grouping val="clustered"/>
        <c:varyColors val="0"/>
        <c:ser>
          <c:idx val="0"/>
          <c:order val="0"/>
          <c:tx>
            <c:strRef>
              <c:f>'21_RENOVA'!$G$27</c:f>
              <c:strCache>
                <c:ptCount val="1"/>
                <c:pt idx="0">
                  <c:v>Recuperación de Cartera</c:v>
                </c:pt>
              </c:strCache>
            </c:strRef>
          </c:tx>
          <c:invertIfNegative val="0"/>
          <c:cat>
            <c:strRef>
              <c:f>('21_RENOVA'!$B$28:$B$84,'21_RENOVA'!$B$26)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MESES</c:v>
                </c:pt>
              </c:strCache>
            </c:strRef>
          </c:cat>
          <c:val>
            <c:numRef>
              <c:f>'21_RENOVA'!$G$68:$G$84</c:f>
              <c:numCache>
                <c:formatCode>#,##0.00</c:formatCode>
                <c:ptCount val="12"/>
                <c:pt idx="0">
                  <c:v>73.83</c:v>
                </c:pt>
                <c:pt idx="1">
                  <c:v>19.2</c:v>
                </c:pt>
                <c:pt idx="2">
                  <c:v>8.85</c:v>
                </c:pt>
                <c:pt idx="3">
                  <c:v>34.119999999999997</c:v>
                </c:pt>
                <c:pt idx="4">
                  <c:v>8.85</c:v>
                </c:pt>
                <c:pt idx="5">
                  <c:v>199.79</c:v>
                </c:pt>
                <c:pt idx="6">
                  <c:v>0</c:v>
                </c:pt>
                <c:pt idx="7">
                  <c:v>0</c:v>
                </c:pt>
                <c:pt idx="8">
                  <c:v>0</c:v>
                </c:pt>
                <c:pt idx="9">
                  <c:v>0</c:v>
                </c:pt>
                <c:pt idx="10">
                  <c:v>0</c:v>
                </c:pt>
                <c:pt idx="11">
                  <c:v>0</c:v>
                </c:pt>
              </c:numCache>
            </c:numRef>
          </c:val>
          <c:extLst>
            <c:ext xmlns:c16="http://schemas.microsoft.com/office/drawing/2014/chart" uri="{C3380CC4-5D6E-409C-BE32-E72D297353CC}">
              <c16:uniqueId val="{00000000-E150-4F0A-93D9-CDE0B2ED915B}"/>
            </c:ext>
          </c:extLst>
        </c:ser>
        <c:ser>
          <c:idx val="1"/>
          <c:order val="1"/>
          <c:tx>
            <c:strRef>
              <c:f>'21_RENOVA'!$H$27</c:f>
              <c:strCache>
                <c:ptCount val="1"/>
                <c:pt idx="0">
                  <c:v>Transferencias recibidas por el MEER</c:v>
                </c:pt>
              </c:strCache>
            </c:strRef>
          </c:tx>
          <c:invertIfNegative val="0"/>
          <c:cat>
            <c:strRef>
              <c:f>('21_RENOVA'!$B$28:$B$84,'21_RENOVA'!$B$26)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MESES</c:v>
                </c:pt>
              </c:strCache>
            </c:strRef>
          </c:cat>
          <c:val>
            <c:numRef>
              <c:f>'21_RENOVA'!$H$68:$H$84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150-4F0A-93D9-CDE0B2ED915B}"/>
            </c:ext>
          </c:extLst>
        </c:ser>
        <c:ser>
          <c:idx val="2"/>
          <c:order val="2"/>
          <c:tx>
            <c:strRef>
              <c:f>'21_RENOVA'!$I$27</c:f>
              <c:strCache>
                <c:ptCount val="1"/>
                <c:pt idx="0">
                  <c:v>Transferencias realizadas BNF</c:v>
                </c:pt>
              </c:strCache>
            </c:strRef>
          </c:tx>
          <c:invertIfNegative val="0"/>
          <c:cat>
            <c:strRef>
              <c:f>('21_RENOVA'!$B$28:$B$84,'21_RENOVA'!$B$26)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MESES</c:v>
                </c:pt>
              </c:strCache>
            </c:strRef>
          </c:cat>
          <c:val>
            <c:numRef>
              <c:f>'21_RENOVA'!$I$68:$I$84</c:f>
              <c:numCache>
                <c:formatCode>#,##0.00</c:formatCode>
                <c:ptCount val="12"/>
                <c:pt idx="0">
                  <c:v>85.649999999999991</c:v>
                </c:pt>
                <c:pt idx="1">
                  <c:v>73.83</c:v>
                </c:pt>
                <c:pt idx="2">
                  <c:v>0</c:v>
                </c:pt>
                <c:pt idx="3">
                  <c:v>28.05</c:v>
                </c:pt>
                <c:pt idx="4">
                  <c:v>34.119999999999997</c:v>
                </c:pt>
                <c:pt idx="5">
                  <c:v>8.85</c:v>
                </c:pt>
                <c:pt idx="6">
                  <c:v>0</c:v>
                </c:pt>
                <c:pt idx="7">
                  <c:v>0</c:v>
                </c:pt>
                <c:pt idx="8">
                  <c:v>0</c:v>
                </c:pt>
                <c:pt idx="9">
                  <c:v>0</c:v>
                </c:pt>
                <c:pt idx="10">
                  <c:v>0</c:v>
                </c:pt>
                <c:pt idx="11">
                  <c:v>0</c:v>
                </c:pt>
              </c:numCache>
            </c:numRef>
          </c:val>
          <c:extLst>
            <c:ext xmlns:c16="http://schemas.microsoft.com/office/drawing/2014/chart" uri="{C3380CC4-5D6E-409C-BE32-E72D297353CC}">
              <c16:uniqueId val="{00000002-E150-4F0A-93D9-CDE0B2ED915B}"/>
            </c:ext>
          </c:extLst>
        </c:ser>
        <c:dLbls>
          <c:showLegendKey val="0"/>
          <c:showVal val="0"/>
          <c:showCatName val="0"/>
          <c:showSerName val="0"/>
          <c:showPercent val="0"/>
          <c:showBubbleSize val="0"/>
        </c:dLbls>
        <c:gapWidth val="75"/>
        <c:overlap val="-25"/>
        <c:axId val="-935441216"/>
        <c:axId val="-935444480"/>
      </c:barChart>
      <c:catAx>
        <c:axId val="-935441216"/>
        <c:scaling>
          <c:orientation val="minMax"/>
        </c:scaling>
        <c:delete val="0"/>
        <c:axPos val="b"/>
        <c:numFmt formatCode="General" sourceLinked="0"/>
        <c:majorTickMark val="out"/>
        <c:minorTickMark val="none"/>
        <c:tickLblPos val="nextTo"/>
        <c:txPr>
          <a:bodyPr/>
          <a:lstStyle/>
          <a:p>
            <a:pPr>
              <a:defRPr lang="es-ES"/>
            </a:pPr>
            <a:endParaRPr lang="es-US"/>
          </a:p>
        </c:txPr>
        <c:crossAx val="-935444480"/>
        <c:crosses val="autoZero"/>
        <c:auto val="1"/>
        <c:lblAlgn val="ctr"/>
        <c:lblOffset val="100"/>
        <c:noMultiLvlLbl val="1"/>
      </c:catAx>
      <c:valAx>
        <c:axId val="-935444480"/>
        <c:scaling>
          <c:orientation val="minMax"/>
        </c:scaling>
        <c:delete val="0"/>
        <c:axPos val="l"/>
        <c:majorGridlines/>
        <c:numFmt formatCode="#,##0.00" sourceLinked="1"/>
        <c:majorTickMark val="none"/>
        <c:minorTickMark val="none"/>
        <c:tickLblPos val="nextTo"/>
        <c:spPr>
          <a:ln w="9525">
            <a:noFill/>
          </a:ln>
        </c:spPr>
        <c:txPr>
          <a:bodyPr/>
          <a:lstStyle/>
          <a:p>
            <a:pPr>
              <a:defRPr lang="es-ES"/>
            </a:pPr>
            <a:endParaRPr lang="es-US"/>
          </a:p>
        </c:txPr>
        <c:crossAx val="-935441216"/>
        <c:crosses val="autoZero"/>
        <c:crossBetween val="between"/>
      </c:valAx>
    </c:plotArea>
    <c:legend>
      <c:legendPos val="b"/>
      <c:overlay val="0"/>
      <c:txPr>
        <a:bodyPr rot="0"/>
        <a:lstStyle/>
        <a:p>
          <a:pPr>
            <a:defRPr lang="es-ES"/>
          </a:pPr>
          <a:endParaRPr lang="es-US"/>
        </a:p>
      </c:txPr>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t>PROYECTOS</a:t>
            </a:r>
            <a:r>
              <a:rPr lang="es-EC" sz="1400" baseline="0"/>
              <a:t> DE ENERGÍA RENOVABLE</a:t>
            </a:r>
            <a:endParaRPr lang="es-EC" sz="1400"/>
          </a:p>
        </c:rich>
      </c:tx>
      <c:overlay val="0"/>
    </c:title>
    <c:autoTitleDeleted val="0"/>
    <c:plotArea>
      <c:layout>
        <c:manualLayout>
          <c:layoutTarget val="inner"/>
          <c:xMode val="edge"/>
          <c:yMode val="edge"/>
          <c:x val="6.7352308234872996E-2"/>
          <c:y val="0.13534209663702776"/>
          <c:w val="0.57373908801356099"/>
          <c:h val="0.70151386472466537"/>
        </c:manualLayout>
      </c:layout>
      <c:lineChart>
        <c:grouping val="standard"/>
        <c:varyColors val="0"/>
        <c:ser>
          <c:idx val="0"/>
          <c:order val="0"/>
          <c:tx>
            <c:strRef>
              <c:f>'22_PROYECTOS RENOVABLE'!$C$14</c:f>
              <c:strCache>
                <c:ptCount val="1"/>
                <c:pt idx="0">
                  <c:v>Eólico Santa Cruz - Baltra (Parque Eólico + Sistema de Interconexión)</c:v>
                </c:pt>
              </c:strCache>
            </c:strRef>
          </c:tx>
          <c:cat>
            <c:numRef>
              <c:f>'22_PROYECTOS RENOVABLE'!$B$15:$B$72</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'22_PROYECTOS RENOVABLE'!$C$15:$C$72</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0-7F7A-4A6C-8A42-9890DEC479D6}"/>
            </c:ext>
          </c:extLst>
        </c:ser>
        <c:ser>
          <c:idx val="1"/>
          <c:order val="1"/>
          <c:tx>
            <c:strRef>
              <c:f>'22_PROYECTOS RENOVABLE'!$D$14</c:f>
              <c:strCache>
                <c:ptCount val="1"/>
                <c:pt idx="0">
                  <c:v>Sistema Híbrido Isabela (Central térmica dual + Planta Fotovoltaica + Banco de Baterías)</c:v>
                </c:pt>
              </c:strCache>
            </c:strRef>
          </c:tx>
          <c:cat>
            <c:numRef>
              <c:f>'22_PROYECTOS RENOVABLE'!$B$15:$B$72</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'22_PROYECTOS RENOVABLE'!$D$15:$D$72</c:f>
              <c:numCache>
                <c:formatCode>0.00%</c:formatCode>
                <c:ptCount val="13"/>
                <c:pt idx="0">
                  <c:v>0.67200000000000004</c:v>
                </c:pt>
                <c:pt idx="1">
                  <c:v>0.70199999999999996</c:v>
                </c:pt>
                <c:pt idx="2">
                  <c:v>0.71199999999999997</c:v>
                </c:pt>
                <c:pt idx="3">
                  <c:v>0.71699999999999997</c:v>
                </c:pt>
                <c:pt idx="4">
                  <c:v>0.71699999999999997</c:v>
                </c:pt>
                <c:pt idx="5">
                  <c:v>0.71699999999999997</c:v>
                </c:pt>
                <c:pt idx="6">
                  <c:v>0.71699999999999997</c:v>
                </c:pt>
                <c:pt idx="7">
                  <c:v>0.71699999999999997</c:v>
                </c:pt>
                <c:pt idx="8">
                  <c:v>0.71699999999999997</c:v>
                </c:pt>
                <c:pt idx="9">
                  <c:v>0.71699999999999997</c:v>
                </c:pt>
                <c:pt idx="10">
                  <c:v>0.71699999999999997</c:v>
                </c:pt>
                <c:pt idx="11">
                  <c:v>0.71699999999999997</c:v>
                </c:pt>
                <c:pt idx="12">
                  <c:v>0.71699999999999997</c:v>
                </c:pt>
              </c:numCache>
            </c:numRef>
          </c:val>
          <c:smooth val="0"/>
          <c:extLst>
            <c:ext xmlns:c16="http://schemas.microsoft.com/office/drawing/2014/chart" uri="{C3380CC4-5D6E-409C-BE32-E72D297353CC}">
              <c16:uniqueId val="{00000001-7F7A-4A6C-8A42-9890DEC479D6}"/>
            </c:ext>
          </c:extLst>
        </c:ser>
        <c:ser>
          <c:idx val="2"/>
          <c:order val="2"/>
          <c:tx>
            <c:strRef>
              <c:f>'22_PROYECTOS RENOVABLE'!$E$14</c:f>
              <c:strCache>
                <c:ptCount val="1"/>
                <c:pt idx="0">
                  <c:v> Sistema Híbrido Floreana</c:v>
                </c:pt>
              </c:strCache>
            </c:strRef>
          </c:tx>
          <c:cat>
            <c:numRef>
              <c:f>'22_PROYECTOS RENOVABLE'!$B$15:$B$72</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'22_PROYECTOS RENOVABLE'!$E$15:$E$72</c:f>
              <c:numCache>
                <c:formatCode>0.00%</c:formatCode>
                <c:ptCount val="13"/>
                <c:pt idx="0">
                  <c:v>0.999</c:v>
                </c:pt>
                <c:pt idx="1">
                  <c:v>0.999</c:v>
                </c:pt>
                <c:pt idx="2">
                  <c:v>0.999</c:v>
                </c:pt>
                <c:pt idx="3">
                  <c:v>0.999</c:v>
                </c:pt>
                <c:pt idx="4">
                  <c:v>0.999</c:v>
                </c:pt>
                <c:pt idx="5">
                  <c:v>0.999</c:v>
                </c:pt>
                <c:pt idx="6">
                  <c:v>0.999</c:v>
                </c:pt>
                <c:pt idx="7">
                  <c:v>0.999</c:v>
                </c:pt>
                <c:pt idx="8">
                  <c:v>0.999</c:v>
                </c:pt>
                <c:pt idx="9">
                  <c:v>0.999</c:v>
                </c:pt>
                <c:pt idx="10">
                  <c:v>0.999</c:v>
                </c:pt>
                <c:pt idx="11">
                  <c:v>0.999</c:v>
                </c:pt>
                <c:pt idx="12">
                  <c:v>0.999</c:v>
                </c:pt>
              </c:numCache>
            </c:numRef>
          </c:val>
          <c:smooth val="0"/>
          <c:extLst>
            <c:ext xmlns:c16="http://schemas.microsoft.com/office/drawing/2014/chart" uri="{C3380CC4-5D6E-409C-BE32-E72D297353CC}">
              <c16:uniqueId val="{00000002-7F7A-4A6C-8A42-9890DEC479D6}"/>
            </c:ext>
          </c:extLst>
        </c:ser>
        <c:ser>
          <c:idx val="4"/>
          <c:order val="3"/>
          <c:tx>
            <c:strRef>
              <c:f>'22_PROYECTOS RENOVABLE'!$F$14</c:f>
              <c:strCache>
                <c:ptCount val="1"/>
                <c:pt idx="0">
                  <c:v>Fotovoltaico y de Almacenamiento (Baterías) en la Isla Baltra</c:v>
                </c:pt>
              </c:strCache>
            </c:strRef>
          </c:tx>
          <c:cat>
            <c:numRef>
              <c:f>'22_PROYECTOS RENOVABLE'!$B$15:$B$72</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'22_PROYECTOS RENOVABLE'!$F$15:$F$72</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3-7F7A-4A6C-8A42-9890DEC479D6}"/>
            </c:ext>
          </c:extLst>
        </c:ser>
        <c:dLbls>
          <c:showLegendKey val="0"/>
          <c:showVal val="0"/>
          <c:showCatName val="0"/>
          <c:showSerName val="0"/>
          <c:showPercent val="0"/>
          <c:showBubbleSize val="0"/>
        </c:dLbls>
        <c:marker val="1"/>
        <c:smooth val="0"/>
        <c:axId val="-935448288"/>
        <c:axId val="-935437952"/>
      </c:lineChart>
      <c:dateAx>
        <c:axId val="-935448288"/>
        <c:scaling>
          <c:orientation val="minMax"/>
        </c:scaling>
        <c:delete val="0"/>
        <c:axPos val="b"/>
        <c:numFmt formatCode="mmm\-yy" sourceLinked="1"/>
        <c:majorTickMark val="none"/>
        <c:minorTickMark val="none"/>
        <c:tickLblPos val="nextTo"/>
        <c:txPr>
          <a:bodyPr/>
          <a:lstStyle/>
          <a:p>
            <a:pPr>
              <a:defRPr lang="es-ES"/>
            </a:pPr>
            <a:endParaRPr lang="es-US"/>
          </a:p>
        </c:txPr>
        <c:crossAx val="-935437952"/>
        <c:crosses val="autoZero"/>
        <c:auto val="1"/>
        <c:lblOffset val="100"/>
        <c:baseTimeUnit val="months"/>
      </c:dateAx>
      <c:valAx>
        <c:axId val="-935437952"/>
        <c:scaling>
          <c:orientation val="minMax"/>
        </c:scaling>
        <c:delete val="0"/>
        <c:axPos val="l"/>
        <c:majorGridlines/>
        <c:numFmt formatCode="0%" sourceLinked="1"/>
        <c:majorTickMark val="none"/>
        <c:minorTickMark val="none"/>
        <c:tickLblPos val="nextTo"/>
        <c:txPr>
          <a:bodyPr/>
          <a:lstStyle/>
          <a:p>
            <a:pPr>
              <a:defRPr lang="es-ES"/>
            </a:pPr>
            <a:endParaRPr lang="es-US"/>
          </a:p>
        </c:txPr>
        <c:crossAx val="-935448288"/>
        <c:crosses val="autoZero"/>
        <c:crossBetween val="between"/>
      </c:valAx>
    </c:plotArea>
    <c:legend>
      <c:legendPos val="r"/>
      <c:overlay val="0"/>
    </c:legend>
    <c:plotVisOnly val="1"/>
    <c:dispBlanksAs val="zero"/>
    <c:showDLblsOverMax val="0"/>
  </c:chart>
  <c:printSettings>
    <c:headerFooter/>
    <c:pageMargins b="0.75000000000000189" l="0.70000000000000062" r="0.70000000000000062" t="0.750000000000001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C"/>
              <a:t>Total de contadores de energía instalados a clientes residenciales</a:t>
            </a:r>
          </a:p>
        </c:rich>
      </c:tx>
      <c:overlay val="0"/>
      <c:spPr>
        <a:noFill/>
        <a:ln>
          <a:noFill/>
        </a:ln>
        <a:effectLst/>
      </c:spPr>
    </c:title>
    <c:autoTitleDeleted val="0"/>
    <c:plotArea>
      <c:layout>
        <c:manualLayout>
          <c:layoutTarget val="inner"/>
          <c:xMode val="edge"/>
          <c:yMode val="edge"/>
          <c:x val="2.42728344920114E-2"/>
          <c:y val="0.29502031672403001"/>
          <c:w val="0.9589333428185457"/>
          <c:h val="0.44109691930667588"/>
        </c:manualLayout>
      </c:layout>
      <c:barChart>
        <c:barDir val="col"/>
        <c:grouping val="clustered"/>
        <c:varyColors val="0"/>
        <c:ser>
          <c:idx val="0"/>
          <c:order val="0"/>
          <c:tx>
            <c:strRef>
              <c:f>'23_CAMBIO_MEDIDORES'!$K$12</c:f>
              <c:strCache>
                <c:ptCount val="1"/>
                <c:pt idx="0">
                  <c:v>MONOFÁSICOS
(1 FASE 2 CONDUCTORES) 
120 V</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spPr>
              <a:ln w="19050" cap="rnd">
                <a:solidFill>
                  <a:schemeClr val="accent1"/>
                </a:solidFill>
                <a:prstDash val="sysDash"/>
              </a:ln>
              <a:effectLst/>
            </c:spPr>
            <c:trendlineType val="linear"/>
            <c:dispRSqr val="0"/>
            <c:dispEq val="0"/>
          </c:trendline>
          <c:cat>
            <c:numRef>
              <c:f>'23_CAMBIO_MEDIDORES'!$A$46:$A$62</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'23_CAMBIO_MEDIDORES'!$K$45:$K$62</c:f>
              <c:numCache>
                <c:formatCode>General</c:formatCode>
                <c:ptCount val="12"/>
                <c:pt idx="0">
                  <c:v>683</c:v>
                </c:pt>
                <c:pt idx="1">
                  <c:v>671</c:v>
                </c:pt>
                <c:pt idx="2">
                  <c:v>653</c:v>
                </c:pt>
                <c:pt idx="3">
                  <c:v>648</c:v>
                </c:pt>
                <c:pt idx="4">
                  <c:v>636</c:v>
                </c:pt>
                <c:pt idx="5">
                  <c:v>614</c:v>
                </c:pt>
                <c:pt idx="6">
                  <c:v>609</c:v>
                </c:pt>
                <c:pt idx="7">
                  <c:v>593</c:v>
                </c:pt>
                <c:pt idx="8">
                  <c:v>575</c:v>
                </c:pt>
                <c:pt idx="9">
                  <c:v>561</c:v>
                </c:pt>
                <c:pt idx="10">
                  <c:v>547</c:v>
                </c:pt>
                <c:pt idx="11">
                  <c:v>530</c:v>
                </c:pt>
              </c:numCache>
            </c:numRef>
          </c:val>
          <c:extLst>
            <c:ext xmlns:c16="http://schemas.microsoft.com/office/drawing/2014/chart" uri="{C3380CC4-5D6E-409C-BE32-E72D297353CC}">
              <c16:uniqueId val="{00000001-320C-4704-A3BF-4C4478AFF5BC}"/>
            </c:ext>
          </c:extLst>
        </c:ser>
        <c:ser>
          <c:idx val="1"/>
          <c:order val="1"/>
          <c:tx>
            <c:strRef>
              <c:f>'23_CAMBIO_MEDIDORES'!$L$12</c:f>
              <c:strCache>
                <c:ptCount val="1"/>
                <c:pt idx="0">
                  <c:v>BIFÁSICO 
(2 FASES 3 CONDUCTORES) 240 V</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spPr>
              <a:ln w="19050" cap="rnd">
                <a:solidFill>
                  <a:schemeClr val="accent2"/>
                </a:solidFill>
                <a:prstDash val="sysDash"/>
              </a:ln>
              <a:effectLst/>
            </c:spPr>
            <c:trendlineType val="linear"/>
            <c:dispRSqr val="0"/>
            <c:dispEq val="0"/>
          </c:trendline>
          <c:cat>
            <c:numRef>
              <c:f>'23_CAMBIO_MEDIDORES'!$A$46:$A$62</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'23_CAMBIO_MEDIDORES'!$L$45:$L$62</c:f>
              <c:numCache>
                <c:formatCode>_(* #,##0_);_(* \(#,##0\);_(* "-"??_);_(@_)</c:formatCode>
                <c:ptCount val="12"/>
                <c:pt idx="0">
                  <c:v>8452</c:v>
                </c:pt>
                <c:pt idx="1">
                  <c:v>8499</c:v>
                </c:pt>
                <c:pt idx="2">
                  <c:v>8531</c:v>
                </c:pt>
                <c:pt idx="3">
                  <c:v>8583</c:v>
                </c:pt>
                <c:pt idx="4">
                  <c:v>8640</c:v>
                </c:pt>
                <c:pt idx="5">
                  <c:v>8698</c:v>
                </c:pt>
                <c:pt idx="6">
                  <c:v>8747</c:v>
                </c:pt>
                <c:pt idx="7">
                  <c:v>8808</c:v>
                </c:pt>
                <c:pt idx="8">
                  <c:v>8889</c:v>
                </c:pt>
                <c:pt idx="9">
                  <c:v>8953</c:v>
                </c:pt>
                <c:pt idx="10">
                  <c:v>9012</c:v>
                </c:pt>
                <c:pt idx="11">
                  <c:v>9259</c:v>
                </c:pt>
              </c:numCache>
            </c:numRef>
          </c:val>
          <c:extLst>
            <c:ext xmlns:c16="http://schemas.microsoft.com/office/drawing/2014/chart" uri="{C3380CC4-5D6E-409C-BE32-E72D297353CC}">
              <c16:uniqueId val="{00000003-320C-4704-A3BF-4C4478AFF5BC}"/>
            </c:ext>
          </c:extLst>
        </c:ser>
        <c:ser>
          <c:idx val="2"/>
          <c:order val="2"/>
          <c:tx>
            <c:strRef>
              <c:f>'23_CAMBIO_MEDIDORES'!$M$11:$M$12</c:f>
              <c:strCache>
                <c:ptCount val="2"/>
                <c:pt idx="0">
                  <c:v>TOTAL ISLAS</c:v>
                </c:pt>
                <c:pt idx="1">
                  <c:v>TRIFÁSICO 
(3 FASES 4 CONDUCTORES) 220 V</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spPr>
              <a:ln w="19050" cap="rnd">
                <a:solidFill>
                  <a:schemeClr val="accent3"/>
                </a:solidFill>
                <a:prstDash val="sysDash"/>
              </a:ln>
              <a:effectLst/>
            </c:spPr>
            <c:trendlineType val="linear"/>
            <c:dispRSqr val="0"/>
            <c:dispEq val="0"/>
          </c:trendline>
          <c:cat>
            <c:numRef>
              <c:f>'23_CAMBIO_MEDIDORES'!$A$46:$A$62</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'23_CAMBIO_MEDIDORES'!$M$13:$M$41</c:f>
            </c:numRef>
          </c:val>
          <c:extLst>
            <c:ext xmlns:c16="http://schemas.microsoft.com/office/drawing/2014/chart" uri="{C3380CC4-5D6E-409C-BE32-E72D297353CC}">
              <c16:uniqueId val="{00000005-320C-4704-A3BF-4C4478AFF5BC}"/>
            </c:ext>
          </c:extLst>
        </c:ser>
        <c:ser>
          <c:idx val="3"/>
          <c:order val="3"/>
          <c:tx>
            <c:strRef>
              <c:f>'23_CAMBIO_MEDIDORES'!$M$12</c:f>
              <c:strCache>
                <c:ptCount val="1"/>
                <c:pt idx="0">
                  <c:v>TRIFÁSICO 
(3 FASES 4 CONDUCTORES) 220 V</c:v>
                </c:pt>
              </c:strCache>
              <c:extLst xmlns:c15="http://schemas.microsoft.com/office/drawing/2012/chart"/>
            </c:strRef>
          </c:tx>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es-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'23_CAMBIO_MEDIDORES'!$A$46:$A$62</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'23_CAMBIO_MEDIDORES'!$M$45:$M$62</c:f>
              <c:numCache>
                <c:formatCode>General</c:formatCode>
                <c:ptCount val="12"/>
                <c:pt idx="0">
                  <c:v>38</c:v>
                </c:pt>
                <c:pt idx="1">
                  <c:v>38</c:v>
                </c:pt>
                <c:pt idx="2">
                  <c:v>39</c:v>
                </c:pt>
                <c:pt idx="3">
                  <c:v>38</c:v>
                </c:pt>
                <c:pt idx="4">
                  <c:v>38</c:v>
                </c:pt>
                <c:pt idx="5">
                  <c:v>38</c:v>
                </c:pt>
                <c:pt idx="6">
                  <c:v>38</c:v>
                </c:pt>
                <c:pt idx="7">
                  <c:v>38</c:v>
                </c:pt>
                <c:pt idx="8">
                  <c:v>38</c:v>
                </c:pt>
                <c:pt idx="9">
                  <c:v>38</c:v>
                </c:pt>
                <c:pt idx="10">
                  <c:v>37</c:v>
                </c:pt>
                <c:pt idx="11">
                  <c:v>37</c:v>
                </c:pt>
              </c:numCache>
            </c:numRef>
          </c:val>
          <c:extLst xmlns:c15="http://schemas.microsoft.com/office/drawing/2012/chart">
            <c:ext xmlns:c16="http://schemas.microsoft.com/office/drawing/2014/chart" uri="{C3380CC4-5D6E-409C-BE32-E72D297353CC}">
              <c16:uniqueId val="{00000006-320C-4704-A3BF-4C4478AFF5BC}"/>
            </c:ext>
          </c:extLst>
        </c:ser>
        <c:dLbls>
          <c:showLegendKey val="0"/>
          <c:showVal val="1"/>
          <c:showCatName val="0"/>
          <c:showSerName val="0"/>
          <c:showPercent val="0"/>
          <c:showBubbleSize val="0"/>
        </c:dLbls>
        <c:gapWidth val="444"/>
        <c:overlap val="-90"/>
        <c:axId val="-935450464"/>
        <c:axId val="-935449376"/>
        <c:extLst/>
      </c:barChart>
      <c:dateAx>
        <c:axId val="-935450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US"/>
          </a:p>
        </c:txPr>
        <c:crossAx val="-935449376"/>
        <c:crosses val="autoZero"/>
        <c:auto val="1"/>
        <c:lblOffset val="100"/>
        <c:baseTimeUnit val="months"/>
      </c:dateAx>
      <c:valAx>
        <c:axId val="-935449376"/>
        <c:scaling>
          <c:orientation val="minMax"/>
        </c:scaling>
        <c:delete val="1"/>
        <c:axPos val="l"/>
        <c:numFmt formatCode="General" sourceLinked="1"/>
        <c:majorTickMark val="none"/>
        <c:minorTickMark val="none"/>
        <c:tickLblPos val="none"/>
        <c:crossAx val="-935450464"/>
        <c:crosses val="autoZero"/>
        <c:crossBetween val="between"/>
      </c:valAx>
      <c:spPr>
        <a:noFill/>
        <a:ln>
          <a:noFill/>
        </a:ln>
        <a:effectLst/>
      </c:spPr>
    </c:plotArea>
    <c:legend>
      <c:legendPos val="b"/>
      <c:legendEntry>
        <c:idx val="3"/>
        <c:delete val="1"/>
      </c:legendEntry>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000000000000189" l="0.70000000000000062" r="0.70000000000000062" t="0.750000000000001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Circuitos Expreso instalados</a:t>
            </a:r>
            <a:r>
              <a:rPr lang="en-US" baseline="0"/>
              <a:t> -</a:t>
            </a:r>
            <a:r>
              <a:rPr lang="en-US"/>
              <a:t> Provincial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'24_PROYECTO_PEC'!$J$14</c:f>
              <c:strCache>
                <c:ptCount val="1"/>
                <c:pt idx="0">
                  <c:v>Circuitos Expreso Provincial</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cat>
            <c:numRef>
              <c:f>'24_PROYECTO_PEC'!$A$16:$A$64</c:f>
              <c:numCache>
                <c:formatCode>mmm\-yy</c:formatCode>
                <c:ptCount val="12"/>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numCache>
            </c:numRef>
          </c:cat>
          <c:val>
            <c:numRef>
              <c:f>'24_PROYECTO_PEC'!$J$16:$J$64</c:f>
              <c:numCache>
                <c:formatCode>#,##0</c:formatCode>
                <c:ptCount val="12"/>
                <c:pt idx="0">
                  <c:v>241</c:v>
                </c:pt>
                <c:pt idx="1">
                  <c:v>244</c:v>
                </c:pt>
                <c:pt idx="2">
                  <c:v>247</c:v>
                </c:pt>
                <c:pt idx="3">
                  <c:v>253</c:v>
                </c:pt>
                <c:pt idx="4">
                  <c:v>256</c:v>
                </c:pt>
                <c:pt idx="5">
                  <c:v>263</c:v>
                </c:pt>
                <c:pt idx="6">
                  <c:v>269</c:v>
                </c:pt>
                <c:pt idx="7">
                  <c:v>272</c:v>
                </c:pt>
                <c:pt idx="8">
                  <c:v>280</c:v>
                </c:pt>
              </c:numCache>
            </c:numRef>
          </c:val>
          <c:extLst>
            <c:ext xmlns:c16="http://schemas.microsoft.com/office/drawing/2014/chart" uri="{C3380CC4-5D6E-409C-BE32-E72D297353CC}">
              <c16:uniqueId val="{00000000-C682-4996-AC5B-ABEFA6FFBB44}"/>
            </c:ext>
          </c:extLst>
        </c:ser>
        <c:dLbls>
          <c:showLegendKey val="0"/>
          <c:showVal val="0"/>
          <c:showCatName val="0"/>
          <c:showSerName val="0"/>
          <c:showPercent val="0"/>
          <c:showBubbleSize val="0"/>
        </c:dLbls>
        <c:gapWidth val="150"/>
        <c:shape val="box"/>
        <c:axId val="-935449920"/>
        <c:axId val="-935448832"/>
        <c:axId val="0"/>
      </c:bar3DChart>
      <c:dateAx>
        <c:axId val="-935449920"/>
        <c:scaling>
          <c:orientation val="minMax"/>
        </c:scaling>
        <c:delete val="0"/>
        <c:axPos val="b"/>
        <c:majorGridlines>
          <c:spPr>
            <a:ln w="9525" cap="flat" cmpd="sng" algn="ctr">
              <a:solidFill>
                <a:schemeClr val="tx2">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US"/>
          </a:p>
        </c:txPr>
        <c:crossAx val="-935448832"/>
        <c:crosses val="autoZero"/>
        <c:auto val="1"/>
        <c:lblOffset val="100"/>
        <c:baseTimeUnit val="months"/>
      </c:dateAx>
      <c:valAx>
        <c:axId val="-93544883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US"/>
          </a:p>
        </c:txPr>
        <c:crossAx val="-93544992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US"/>
    </a:p>
  </c:txPr>
  <c:printSettings>
    <c:headerFooter/>
    <c:pageMargins b="0.75000000000000189" l="0.70000000000000062" r="0.70000000000000062" t="0.7500000000000018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C"/>
              <a:t>CLIENTES PEC CON INCENTIVO TARIFARIO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U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'24_PROYECTO_PEC'!$N$69:$N$70</c:f>
              <c:strCache>
                <c:ptCount val="2"/>
                <c:pt idx="0">
                  <c:v>Clientes cocina</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numRef>
              <c:f>'24_PROYECTO_PEC'!$A$105:$A$120</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'24_PROYECTO_PEC'!$N$105:$N$120</c:f>
              <c:numCache>
                <c:formatCode>#,##0</c:formatCode>
                <c:ptCount val="13"/>
                <c:pt idx="0">
                  <c:v>230</c:v>
                </c:pt>
                <c:pt idx="1">
                  <c:v>233</c:v>
                </c:pt>
                <c:pt idx="2">
                  <c:v>236</c:v>
                </c:pt>
                <c:pt idx="3">
                  <c:v>240</c:v>
                </c:pt>
                <c:pt idx="4">
                  <c:v>241</c:v>
                </c:pt>
                <c:pt idx="5">
                  <c:v>245</c:v>
                </c:pt>
                <c:pt idx="6">
                  <c:v>250</c:v>
                </c:pt>
                <c:pt idx="7">
                  <c:v>248</c:v>
                </c:pt>
                <c:pt idx="8">
                  <c:v>256</c:v>
                </c:pt>
                <c:pt idx="9">
                  <c:v>258</c:v>
                </c:pt>
                <c:pt idx="10">
                  <c:v>266</c:v>
                </c:pt>
                <c:pt idx="11">
                  <c:v>265</c:v>
                </c:pt>
                <c:pt idx="12">
                  <c:v>267</c:v>
                </c:pt>
              </c:numCache>
            </c:numRef>
          </c:val>
          <c:extLst>
            <c:ext xmlns:c16="http://schemas.microsoft.com/office/drawing/2014/chart" uri="{C3380CC4-5D6E-409C-BE32-E72D297353CC}">
              <c16:uniqueId val="{00000000-3024-4E90-AD92-A3ABBAF37B0B}"/>
            </c:ext>
          </c:extLst>
        </c:ser>
        <c:ser>
          <c:idx val="1"/>
          <c:order val="1"/>
          <c:tx>
            <c:strRef>
              <c:f>'24_PROYECTO_PEC'!$O$69:$O$70</c:f>
              <c:strCache>
                <c:ptCount val="2"/>
                <c:pt idx="0">
                  <c:v>Clientes ducha</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'24_PROYECTO_PEC'!$A$105:$A$120</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'24_PROYECTO_PEC'!$O$105:$O$120</c:f>
              <c:numCache>
                <c:formatCode>#,##0</c:formatCode>
                <c:ptCount val="13"/>
                <c:pt idx="0">
                  <c:v>3</c:v>
                </c:pt>
                <c:pt idx="1">
                  <c:v>3</c:v>
                </c:pt>
                <c:pt idx="2">
                  <c:v>3</c:v>
                </c:pt>
                <c:pt idx="3">
                  <c:v>3</c:v>
                </c:pt>
                <c:pt idx="4">
                  <c:v>4</c:v>
                </c:pt>
                <c:pt idx="5">
                  <c:v>4</c:v>
                </c:pt>
                <c:pt idx="6">
                  <c:v>4</c:v>
                </c:pt>
                <c:pt idx="7">
                  <c:v>4</c:v>
                </c:pt>
                <c:pt idx="8">
                  <c:v>4</c:v>
                </c:pt>
                <c:pt idx="9">
                  <c:v>4</c:v>
                </c:pt>
                <c:pt idx="10">
                  <c:v>5</c:v>
                </c:pt>
                <c:pt idx="11">
                  <c:v>5</c:v>
                </c:pt>
                <c:pt idx="12">
                  <c:v>5</c:v>
                </c:pt>
              </c:numCache>
            </c:numRef>
          </c:val>
          <c:extLst>
            <c:ext xmlns:c16="http://schemas.microsoft.com/office/drawing/2014/chart" uri="{C3380CC4-5D6E-409C-BE32-E72D297353CC}">
              <c16:uniqueId val="{00000001-3024-4E90-AD92-A3ABBAF37B0B}"/>
            </c:ext>
          </c:extLst>
        </c:ser>
        <c:ser>
          <c:idx val="2"/>
          <c:order val="2"/>
          <c:tx>
            <c:strRef>
              <c:f>'24_PROYECTO_PEC'!$P$69:$P$70</c:f>
              <c:strCache>
                <c:ptCount val="2"/>
                <c:pt idx="0">
                  <c:v>Clientes cocina y ducha</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'24_PROYECTO_PEC'!$A$105:$A$120</c:f>
              <c:numCache>
                <c:formatCode>mmm\-yy</c:formatCode>
                <c:ptCount val="13"/>
                <c:pt idx="0">
                  <c:v>42979</c:v>
                </c:pt>
                <c:pt idx="1">
                  <c:v>43009</c:v>
                </c:pt>
                <c:pt idx="2">
                  <c:v>43040</c:v>
                </c:pt>
                <c:pt idx="3">
                  <c:v>43070</c:v>
                </c:pt>
                <c:pt idx="4">
                  <c:v>43101</c:v>
                </c:pt>
                <c:pt idx="5">
                  <c:v>43132</c:v>
                </c:pt>
                <c:pt idx="6">
                  <c:v>43160</c:v>
                </c:pt>
                <c:pt idx="7">
                  <c:v>43191</c:v>
                </c:pt>
                <c:pt idx="8">
                  <c:v>43221</c:v>
                </c:pt>
                <c:pt idx="9">
                  <c:v>43252</c:v>
                </c:pt>
                <c:pt idx="10">
                  <c:v>43282</c:v>
                </c:pt>
                <c:pt idx="11">
                  <c:v>43313</c:v>
                </c:pt>
                <c:pt idx="12">
                  <c:v>43344</c:v>
                </c:pt>
              </c:numCache>
            </c:numRef>
          </c:cat>
          <c:val>
            <c:numRef>
              <c:f>'24_PROYECTO_PEC'!$P$105:$P$120</c:f>
              <c:numCache>
                <c:formatCode>#,##0</c:formatCode>
                <c:ptCount val="13"/>
                <c:pt idx="0">
                  <c:v>30</c:v>
                </c:pt>
                <c:pt idx="1">
                  <c:v>29</c:v>
                </c:pt>
                <c:pt idx="2">
                  <c:v>29</c:v>
                </c:pt>
                <c:pt idx="3">
                  <c:v>31</c:v>
                </c:pt>
                <c:pt idx="4">
                  <c:v>32</c:v>
                </c:pt>
                <c:pt idx="5">
                  <c:v>35</c:v>
                </c:pt>
                <c:pt idx="6">
                  <c:v>36</c:v>
                </c:pt>
                <c:pt idx="7">
                  <c:v>34</c:v>
                </c:pt>
                <c:pt idx="8">
                  <c:v>36</c:v>
                </c:pt>
                <c:pt idx="9">
                  <c:v>36</c:v>
                </c:pt>
                <c:pt idx="10">
                  <c:v>36</c:v>
                </c:pt>
                <c:pt idx="11">
                  <c:v>39</c:v>
                </c:pt>
                <c:pt idx="12">
                  <c:v>41</c:v>
                </c:pt>
              </c:numCache>
            </c:numRef>
          </c:val>
          <c:extLst>
            <c:ext xmlns:c16="http://schemas.microsoft.com/office/drawing/2014/chart" uri="{C3380CC4-5D6E-409C-BE32-E72D297353CC}">
              <c16:uniqueId val="{00000002-3024-4E90-AD92-A3ABBAF37B0B}"/>
            </c:ext>
          </c:extLst>
        </c:ser>
        <c:dLbls>
          <c:showLegendKey val="0"/>
          <c:showVal val="0"/>
          <c:showCatName val="0"/>
          <c:showSerName val="0"/>
          <c:showPercent val="0"/>
          <c:showBubbleSize val="0"/>
        </c:dLbls>
        <c:gapWidth val="65"/>
        <c:shape val="box"/>
        <c:axId val="769054680"/>
        <c:axId val="769053896"/>
        <c:axId val="0"/>
      </c:bar3DChart>
      <c:dateAx>
        <c:axId val="769054680"/>
        <c:scaling>
          <c:orientation val="minMax"/>
        </c:scaling>
        <c:delete val="0"/>
        <c:axPos val="b"/>
        <c:numFmt formatCode="mmm\-yy"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US"/>
          </a:p>
        </c:txPr>
        <c:crossAx val="769053896"/>
        <c:crosses val="autoZero"/>
        <c:auto val="1"/>
        <c:lblOffset val="100"/>
        <c:baseTimeUnit val="months"/>
      </c:dateAx>
      <c:valAx>
        <c:axId val="76905389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US"/>
          </a:p>
        </c:txPr>
        <c:crossAx val="76905468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EC" b="1"/>
              <a:t>AVANCE FÍSICO</a:t>
            </a:r>
          </a:p>
        </c:rich>
      </c:tx>
      <c:overlay val="0"/>
      <c:spPr>
        <a:noFill/>
        <a:ln>
          <a:noFill/>
        </a:ln>
        <a:effectLst/>
      </c:spPr>
    </c:title>
    <c:autoTitleDeleted val="0"/>
    <c:plotArea>
      <c:layout/>
      <c:lineChart>
        <c:grouping val="standard"/>
        <c:varyColors val="0"/>
        <c:ser>
          <c:idx val="0"/>
          <c:order val="0"/>
          <c:tx>
            <c:strRef>
              <c:f>'25_PROYECTOS INVER'!$C$36</c:f>
              <c:strCache>
                <c:ptCount val="1"/>
                <c:pt idx="0">
                  <c:v>FERUM BID II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INVER'!$C$46:$C$81</c:f>
              <c:numCache>
                <c:formatCode>0.00%</c:formatCode>
                <c:ptCount val="12"/>
                <c:pt idx="0">
                  <c:v>0.88890000000000002</c:v>
                </c:pt>
                <c:pt idx="1">
                  <c:v>0.88890000000000002</c:v>
                </c:pt>
                <c:pt idx="2">
                  <c:v>0.88890000000000002</c:v>
                </c:pt>
                <c:pt idx="3">
                  <c:v>0.88890000000000002</c:v>
                </c:pt>
                <c:pt idx="4">
                  <c:v>0.88890000000000002</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36FF-46E0-B277-F83D0579914E}"/>
            </c:ext>
          </c:extLst>
        </c:ser>
        <c:ser>
          <c:idx val="1"/>
          <c:order val="1"/>
          <c:tx>
            <c:strRef>
              <c:f>'25_PROYECTOS INVER'!$D$36</c:f>
              <c:strCache>
                <c:ptCount val="1"/>
                <c:pt idx="0">
                  <c:v>RSND BID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INVER'!$D$46:$D$81</c:f>
              <c:numCache>
                <c:formatCode>0.00%</c:formatCode>
                <c:ptCount val="12"/>
                <c:pt idx="0">
                  <c:v>1</c:v>
                </c:pt>
                <c:pt idx="1">
                  <c:v>1</c:v>
                </c:pt>
                <c:pt idx="2">
                  <c:v>1</c:v>
                </c:pt>
                <c:pt idx="3">
                  <c:v>0.875</c:v>
                </c:pt>
                <c:pt idx="4">
                  <c:v>0.875</c:v>
                </c:pt>
                <c:pt idx="5">
                  <c:v>0.875</c:v>
                </c:pt>
                <c:pt idx="6">
                  <c:v>0.875</c:v>
                </c:pt>
                <c:pt idx="7">
                  <c:v>1</c:v>
                </c:pt>
                <c:pt idx="8">
                  <c:v>1</c:v>
                </c:pt>
                <c:pt idx="9">
                  <c:v>1</c:v>
                </c:pt>
                <c:pt idx="10">
                  <c:v>1</c:v>
                </c:pt>
                <c:pt idx="11">
                  <c:v>1</c:v>
                </c:pt>
              </c:numCache>
            </c:numRef>
          </c:val>
          <c:smooth val="0"/>
          <c:extLst>
            <c:ext xmlns:c16="http://schemas.microsoft.com/office/drawing/2014/chart" uri="{C3380CC4-5D6E-409C-BE32-E72D297353CC}">
              <c16:uniqueId val="{00000001-36FF-46E0-B277-F83D0579914E}"/>
            </c:ext>
          </c:extLst>
        </c:ser>
        <c:ser>
          <c:idx val="2"/>
          <c:order val="2"/>
          <c:tx>
            <c:strRef>
              <c:f>'25_PROYECTOS INVER'!$E$36</c:f>
              <c:strCache>
                <c:ptCount val="1"/>
                <c:pt idx="0">
                  <c:v>RSND CAF</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INVER'!$E$46:$E$81</c:f>
              <c:numCache>
                <c:formatCode>0.00%</c:formatCode>
                <c:ptCount val="12"/>
                <c:pt idx="0">
                  <c:v>1</c:v>
                </c:pt>
                <c:pt idx="1">
                  <c:v>1</c:v>
                </c:pt>
                <c:pt idx="2">
                  <c:v>1</c:v>
                </c:pt>
                <c:pt idx="3">
                  <c:v>0.83330000000000004</c:v>
                </c:pt>
                <c:pt idx="4">
                  <c:v>0.83330000000000004</c:v>
                </c:pt>
                <c:pt idx="5">
                  <c:v>0.83330000000000004</c:v>
                </c:pt>
                <c:pt idx="6">
                  <c:v>0.83330000000000004</c:v>
                </c:pt>
                <c:pt idx="7">
                  <c:v>1</c:v>
                </c:pt>
                <c:pt idx="8">
                  <c:v>1</c:v>
                </c:pt>
                <c:pt idx="9">
                  <c:v>1</c:v>
                </c:pt>
                <c:pt idx="10">
                  <c:v>1</c:v>
                </c:pt>
                <c:pt idx="11">
                  <c:v>1</c:v>
                </c:pt>
              </c:numCache>
            </c:numRef>
          </c:val>
          <c:smooth val="0"/>
          <c:extLst>
            <c:ext xmlns:c16="http://schemas.microsoft.com/office/drawing/2014/chart" uri="{C3380CC4-5D6E-409C-BE32-E72D297353CC}">
              <c16:uniqueId val="{00000002-36FF-46E0-B277-F83D0579914E}"/>
            </c:ext>
          </c:extLst>
        </c:ser>
        <c:ser>
          <c:idx val="3"/>
          <c:order val="3"/>
          <c:tx>
            <c:strRef>
              <c:f>'25_PROYECTOS INVER'!$F$36</c:f>
              <c:strCache>
                <c:ptCount val="1"/>
                <c:pt idx="0">
                  <c:v>RSND AFD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INVER'!$F$46:$F$81</c:f>
              <c:numCache>
                <c:formatCode>0.00%</c:formatCode>
                <c:ptCount val="12"/>
                <c:pt idx="0">
                  <c:v>0.75</c:v>
                </c:pt>
                <c:pt idx="1">
                  <c:v>0.94</c:v>
                </c:pt>
                <c:pt idx="2">
                  <c:v>0.94</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3-36FF-46E0-B277-F83D0579914E}"/>
            </c:ext>
          </c:extLst>
        </c:ser>
        <c:ser>
          <c:idx val="4"/>
          <c:order val="4"/>
          <c:tx>
            <c:strRef>
              <c:f>'25_PROYECTOS INVER'!$G$36</c:f>
              <c:strCache>
                <c:ptCount val="1"/>
                <c:pt idx="0">
                  <c:v>RSND BID II</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INVER'!$G$46:$G$81</c:f>
              <c:numCache>
                <c:formatCode>0.00%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4-36FF-46E0-B277-F83D0579914E}"/>
            </c:ext>
          </c:extLst>
        </c:ser>
        <c:ser>
          <c:idx val="5"/>
          <c:order val="5"/>
          <c:tx>
            <c:strRef>
              <c:f>'25_PROYECTOS INVER'!$H$36</c:f>
              <c:strCache>
                <c:ptCount val="1"/>
                <c:pt idx="0">
                  <c:v>RSND BID III</c:v>
                </c:pt>
              </c:strCache>
            </c:strRef>
          </c:tx>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INVER'!$H$60:$H$81</c:f>
              <c:numCache>
                <c:formatCode>0.00%</c:formatCode>
                <c:ptCount val="12"/>
                <c:pt idx="0">
                  <c:v>0.52500000000000002</c:v>
                </c:pt>
                <c:pt idx="1">
                  <c:v>0.56899999999999995</c:v>
                </c:pt>
                <c:pt idx="2">
                  <c:v>0.62649999999999995</c:v>
                </c:pt>
                <c:pt idx="3">
                  <c:v>0.63549999999999995</c:v>
                </c:pt>
                <c:pt idx="4">
                  <c:v>0.64900000000000002</c:v>
                </c:pt>
                <c:pt idx="5">
                  <c:v>0.64900000000000002</c:v>
                </c:pt>
                <c:pt idx="6">
                  <c:v>0.72130000000000005</c:v>
                </c:pt>
                <c:pt idx="7">
                  <c:v>0.79620000000000002</c:v>
                </c:pt>
                <c:pt idx="8">
                  <c:v>0.94630000000000003</c:v>
                </c:pt>
                <c:pt idx="9">
                  <c:v>1</c:v>
                </c:pt>
                <c:pt idx="10">
                  <c:v>1</c:v>
                </c:pt>
                <c:pt idx="11">
                  <c:v>1</c:v>
                </c:pt>
              </c:numCache>
            </c:numRef>
          </c:val>
          <c:smooth val="0"/>
          <c:extLst>
            <c:ext xmlns:c16="http://schemas.microsoft.com/office/drawing/2014/chart" uri="{C3380CC4-5D6E-409C-BE32-E72D297353CC}">
              <c16:uniqueId val="{00000005-36FF-46E0-B277-F83D0579914E}"/>
            </c:ext>
          </c:extLst>
        </c:ser>
        <c:dLbls>
          <c:showLegendKey val="0"/>
          <c:showVal val="0"/>
          <c:showCatName val="0"/>
          <c:showSerName val="0"/>
          <c:showPercent val="0"/>
          <c:showBubbleSize val="0"/>
        </c:dLbls>
        <c:marker val="1"/>
        <c:smooth val="0"/>
        <c:axId val="-934898064"/>
        <c:axId val="-934891536"/>
      </c:lineChart>
      <c:dateAx>
        <c:axId val="-9348980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crossAx val="-934891536"/>
        <c:crosses val="autoZero"/>
        <c:auto val="1"/>
        <c:lblOffset val="100"/>
        <c:baseTimeUnit val="months"/>
      </c:dateAx>
      <c:valAx>
        <c:axId val="-934891536"/>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crossAx val="-934898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FUENTES DE GENERACIÓN ENERGÉTICA - 2018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F1-4218-91A8-6F1F9C4AFB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EF1-4218-91A8-6F1F9C4AFB68}"/>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U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'01_MWh GENERACIÓN'!$A$180:$C$181</c:f>
              <c:strCache>
                <c:ptCount val="2"/>
                <c:pt idx="0">
                  <c:v>% Energía -renovable-</c:v>
                </c:pt>
                <c:pt idx="1">
                  <c:v>% Energía -convencional-</c:v>
                </c:pt>
              </c:strCache>
            </c:strRef>
          </c:cat>
          <c:val>
            <c:numRef>
              <c:f>'01_MWh GENERACIÓN'!$G$188:$G$189</c:f>
              <c:numCache>
                <c:formatCode>0.00%</c:formatCode>
                <c:ptCount val="2"/>
                <c:pt idx="0">
                  <c:v>0.26732719486832202</c:v>
                </c:pt>
                <c:pt idx="1">
                  <c:v>0.73267280513167787</c:v>
                </c:pt>
              </c:numCache>
            </c:numRef>
          </c:val>
          <c:extLst>
            <c:ext xmlns:c16="http://schemas.microsoft.com/office/drawing/2014/chart" uri="{C3380CC4-5D6E-409C-BE32-E72D297353CC}">
              <c16:uniqueId val="{00000004-1EF1-4218-91A8-6F1F9C4AFB6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n-lt"/>
                <a:ea typeface="+mn-ea"/>
                <a:cs typeface="+mn-cs"/>
              </a:defRPr>
            </a:pPr>
            <a:r>
              <a:rPr lang="es-EC" b="1"/>
              <a:t>AVANCE CONTABLE</a:t>
            </a:r>
          </a:p>
        </c:rich>
      </c:tx>
      <c:overlay val="0"/>
      <c:spPr>
        <a:noFill/>
        <a:ln>
          <a:noFill/>
        </a:ln>
        <a:effectLst/>
      </c:spPr>
    </c:title>
    <c:autoTitleDeleted val="0"/>
    <c:plotArea>
      <c:layout/>
      <c:lineChart>
        <c:grouping val="standard"/>
        <c:varyColors val="0"/>
        <c:ser>
          <c:idx val="0"/>
          <c:order val="0"/>
          <c:tx>
            <c:strRef>
              <c:f>'25_PROYECTOS INVER'!$J$36</c:f>
              <c:strCache>
                <c:ptCount val="1"/>
                <c:pt idx="0">
                  <c:v>RSND BID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INVER'!$J$46:$J$81</c:f>
              <c:numCache>
                <c:formatCode>0.00%</c:formatCode>
                <c:ptCount val="12"/>
                <c:pt idx="0">
                  <c:v>0.96250307329397577</c:v>
                </c:pt>
                <c:pt idx="1">
                  <c:v>0.96250307329397589</c:v>
                </c:pt>
                <c:pt idx="2">
                  <c:v>0.96250594009776269</c:v>
                </c:pt>
                <c:pt idx="3">
                  <c:v>0.9557382271267697</c:v>
                </c:pt>
                <c:pt idx="4">
                  <c:v>0.9557382271267697</c:v>
                </c:pt>
                <c:pt idx="5">
                  <c:v>0.96062748303167611</c:v>
                </c:pt>
                <c:pt idx="6">
                  <c:v>0.96062748303167611</c:v>
                </c:pt>
                <c:pt idx="7">
                  <c:v>0.96276957383233441</c:v>
                </c:pt>
                <c:pt idx="8">
                  <c:v>0.96276957383233441</c:v>
                </c:pt>
                <c:pt idx="9">
                  <c:v>0.96276957383233441</c:v>
                </c:pt>
                <c:pt idx="10">
                  <c:v>0.96276957383233441</c:v>
                </c:pt>
                <c:pt idx="11">
                  <c:v>0.96276957383233441</c:v>
                </c:pt>
              </c:numCache>
            </c:numRef>
          </c:val>
          <c:smooth val="0"/>
          <c:extLst>
            <c:ext xmlns:c16="http://schemas.microsoft.com/office/drawing/2014/chart" uri="{C3380CC4-5D6E-409C-BE32-E72D297353CC}">
              <c16:uniqueId val="{00000000-ADA3-4936-95D1-3E3B46519BD3}"/>
            </c:ext>
          </c:extLst>
        </c:ser>
        <c:ser>
          <c:idx val="1"/>
          <c:order val="1"/>
          <c:tx>
            <c:strRef>
              <c:f>'25_PROYECTOS INVER'!$K$36</c:f>
              <c:strCache>
                <c:ptCount val="1"/>
                <c:pt idx="0">
                  <c:v>RSND CAF</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INVER'!$K$46:$K$81</c:f>
              <c:numCache>
                <c:formatCode>0.00%</c:formatCode>
                <c:ptCount val="12"/>
                <c:pt idx="0">
                  <c:v>0.97851440346152574</c:v>
                </c:pt>
                <c:pt idx="1">
                  <c:v>0.97851440346152574</c:v>
                </c:pt>
                <c:pt idx="2">
                  <c:v>0.97851440346152574</c:v>
                </c:pt>
                <c:pt idx="3">
                  <c:v>0.93308575310117325</c:v>
                </c:pt>
                <c:pt idx="4">
                  <c:v>0.93308575310117325</c:v>
                </c:pt>
                <c:pt idx="5">
                  <c:v>0.95352845017753007</c:v>
                </c:pt>
                <c:pt idx="6">
                  <c:v>0.95352845017753007</c:v>
                </c:pt>
                <c:pt idx="7">
                  <c:v>0.97951189685505902</c:v>
                </c:pt>
                <c:pt idx="8">
                  <c:v>0.97951189685505902</c:v>
                </c:pt>
                <c:pt idx="9">
                  <c:v>0.97951189685505902</c:v>
                </c:pt>
                <c:pt idx="10">
                  <c:v>0.97951189685505902</c:v>
                </c:pt>
                <c:pt idx="11">
                  <c:v>0.97951189685505902</c:v>
                </c:pt>
              </c:numCache>
            </c:numRef>
          </c:val>
          <c:smooth val="0"/>
          <c:extLst>
            <c:ext xmlns:c16="http://schemas.microsoft.com/office/drawing/2014/chart" uri="{C3380CC4-5D6E-409C-BE32-E72D297353CC}">
              <c16:uniqueId val="{00000001-ADA3-4936-95D1-3E3B46519BD3}"/>
            </c:ext>
          </c:extLst>
        </c:ser>
        <c:ser>
          <c:idx val="2"/>
          <c:order val="2"/>
          <c:tx>
            <c:strRef>
              <c:f>'25_PROYECTOS INVER'!$I$36</c:f>
              <c:strCache>
                <c:ptCount val="1"/>
                <c:pt idx="0">
                  <c:v>FERUM BID II</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INVER'!$I$46:$I$81</c:f>
              <c:numCache>
                <c:formatCode>0.00%</c:formatCode>
                <c:ptCount val="12"/>
                <c:pt idx="0">
                  <c:v>0.96381532977785966</c:v>
                </c:pt>
                <c:pt idx="1">
                  <c:v>0.96381532977785989</c:v>
                </c:pt>
                <c:pt idx="2">
                  <c:v>0.96381532977785989</c:v>
                </c:pt>
                <c:pt idx="3">
                  <c:v>0.96381532977785989</c:v>
                </c:pt>
                <c:pt idx="4">
                  <c:v>0.96381532977785989</c:v>
                </c:pt>
                <c:pt idx="5">
                  <c:v>0.99847739510602973</c:v>
                </c:pt>
                <c:pt idx="6">
                  <c:v>0.99847739510602973</c:v>
                </c:pt>
                <c:pt idx="7">
                  <c:v>0.99847739510602973</c:v>
                </c:pt>
                <c:pt idx="8">
                  <c:v>0.99847739510602973</c:v>
                </c:pt>
                <c:pt idx="9">
                  <c:v>0.99847739510602973</c:v>
                </c:pt>
                <c:pt idx="10">
                  <c:v>0.99847739510602973</c:v>
                </c:pt>
                <c:pt idx="11">
                  <c:v>0.99847739510602973</c:v>
                </c:pt>
              </c:numCache>
            </c:numRef>
          </c:val>
          <c:smooth val="0"/>
          <c:extLst>
            <c:ext xmlns:c16="http://schemas.microsoft.com/office/drawing/2014/chart" uri="{C3380CC4-5D6E-409C-BE32-E72D297353CC}">
              <c16:uniqueId val="{00000002-ADA3-4936-95D1-3E3B46519BD3}"/>
            </c:ext>
          </c:extLst>
        </c:ser>
        <c:ser>
          <c:idx val="3"/>
          <c:order val="3"/>
          <c:tx>
            <c:strRef>
              <c:f>'25_PROYECTOS INVER'!$L$36</c:f>
              <c:strCache>
                <c:ptCount val="1"/>
                <c:pt idx="0">
                  <c:v>RSND AFD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INVER'!$L$46:$L$81</c:f>
              <c:numCache>
                <c:formatCode>0.00%</c:formatCode>
                <c:ptCount val="12"/>
                <c:pt idx="0">
                  <c:v>0.84373532435565135</c:v>
                </c:pt>
                <c:pt idx="1">
                  <c:v>0.88641163644492926</c:v>
                </c:pt>
                <c:pt idx="2">
                  <c:v>0.88641163644492926</c:v>
                </c:pt>
                <c:pt idx="3">
                  <c:v>0.90166096150901875</c:v>
                </c:pt>
                <c:pt idx="4">
                  <c:v>0.92671342710089366</c:v>
                </c:pt>
                <c:pt idx="5">
                  <c:v>0.92671342710089366</c:v>
                </c:pt>
                <c:pt idx="6">
                  <c:v>0.92671342710089366</c:v>
                </c:pt>
                <c:pt idx="7">
                  <c:v>0.92704914417060313</c:v>
                </c:pt>
                <c:pt idx="8">
                  <c:v>0.92704914417060313</c:v>
                </c:pt>
                <c:pt idx="9">
                  <c:v>0.92704914417060313</c:v>
                </c:pt>
                <c:pt idx="10">
                  <c:v>0.92704914417060313</c:v>
                </c:pt>
                <c:pt idx="11">
                  <c:v>0.94494376643262756</c:v>
                </c:pt>
              </c:numCache>
            </c:numRef>
          </c:val>
          <c:smooth val="0"/>
          <c:extLst>
            <c:ext xmlns:c16="http://schemas.microsoft.com/office/drawing/2014/chart" uri="{C3380CC4-5D6E-409C-BE32-E72D297353CC}">
              <c16:uniqueId val="{00000003-ADA3-4936-95D1-3E3B46519BD3}"/>
            </c:ext>
          </c:extLst>
        </c:ser>
        <c:ser>
          <c:idx val="4"/>
          <c:order val="4"/>
          <c:tx>
            <c:strRef>
              <c:f>'25_PROYECTOS INVER'!$M$36</c:f>
              <c:strCache>
                <c:ptCount val="1"/>
                <c:pt idx="0">
                  <c:v>RSND BID II</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INVER'!$M$46:$M$81</c:f>
              <c:numCache>
                <c:formatCode>0.00%</c:formatCode>
                <c:ptCount val="12"/>
                <c:pt idx="0">
                  <c:v>0.99988906316243631</c:v>
                </c:pt>
                <c:pt idx="1">
                  <c:v>0.99988906316243631</c:v>
                </c:pt>
                <c:pt idx="2">
                  <c:v>0.99988906316243631</c:v>
                </c:pt>
                <c:pt idx="3">
                  <c:v>0.99988906316243631</c:v>
                </c:pt>
                <c:pt idx="4">
                  <c:v>0.99988906316243631</c:v>
                </c:pt>
                <c:pt idx="5">
                  <c:v>0.99988906316243631</c:v>
                </c:pt>
                <c:pt idx="6">
                  <c:v>0.99988906316243631</c:v>
                </c:pt>
                <c:pt idx="7">
                  <c:v>0.99988906316243631</c:v>
                </c:pt>
                <c:pt idx="8">
                  <c:v>0.99988906316243631</c:v>
                </c:pt>
                <c:pt idx="9">
                  <c:v>0.99988906316243631</c:v>
                </c:pt>
                <c:pt idx="10">
                  <c:v>0.99988906316243631</c:v>
                </c:pt>
                <c:pt idx="11">
                  <c:v>0.99988906316243631</c:v>
                </c:pt>
              </c:numCache>
            </c:numRef>
          </c:val>
          <c:smooth val="0"/>
          <c:extLst>
            <c:ext xmlns:c16="http://schemas.microsoft.com/office/drawing/2014/chart" uri="{C3380CC4-5D6E-409C-BE32-E72D297353CC}">
              <c16:uniqueId val="{00000004-ADA3-4936-95D1-3E3B46519BD3}"/>
            </c:ext>
          </c:extLst>
        </c:ser>
        <c:ser>
          <c:idx val="5"/>
          <c:order val="5"/>
          <c:tx>
            <c:strRef>
              <c:f>'25_PROYECTOS INVER'!$N$36</c:f>
              <c:strCache>
                <c:ptCount val="1"/>
                <c:pt idx="0">
                  <c:v>RSND BID III</c:v>
                </c:pt>
              </c:strCache>
            </c:strRef>
          </c:tx>
          <c:cat>
            <c:numRef>
              <c:f>'25_PROYECTOS INVER'!$B$60:$B$81</c:f>
              <c:numCache>
                <c:formatCode>mmm\-yy</c:formatCode>
                <c:ptCount val="12"/>
                <c:pt idx="0">
                  <c:v>43009</c:v>
                </c:pt>
                <c:pt idx="1">
                  <c:v>43040</c:v>
                </c:pt>
                <c:pt idx="2">
                  <c:v>43070</c:v>
                </c:pt>
                <c:pt idx="3">
                  <c:v>43101</c:v>
                </c:pt>
                <c:pt idx="4">
                  <c:v>43132</c:v>
                </c:pt>
                <c:pt idx="5">
                  <c:v>43160</c:v>
                </c:pt>
                <c:pt idx="6">
                  <c:v>43191</c:v>
                </c:pt>
                <c:pt idx="7">
                  <c:v>43221</c:v>
                </c:pt>
                <c:pt idx="8">
                  <c:v>43281</c:v>
                </c:pt>
                <c:pt idx="9">
                  <c:v>43311</c:v>
                </c:pt>
                <c:pt idx="10">
                  <c:v>43343</c:v>
                </c:pt>
                <c:pt idx="11">
                  <c:v>43373</c:v>
                </c:pt>
              </c:numCache>
            </c:numRef>
          </c:cat>
          <c:val>
            <c:numRef>
              <c:f>'25_PROYECTOS INVER'!$N$60:$N$81</c:f>
              <c:numCache>
                <c:formatCode>0.00%</c:formatCode>
                <c:ptCount val="12"/>
                <c:pt idx="0">
                  <c:v>0.47581988529528246</c:v>
                </c:pt>
                <c:pt idx="1">
                  <c:v>0.5578929138228591</c:v>
                </c:pt>
                <c:pt idx="2">
                  <c:v>0.53797313371900257</c:v>
                </c:pt>
                <c:pt idx="3">
                  <c:v>0.53797313371900257</c:v>
                </c:pt>
                <c:pt idx="4">
                  <c:v>0.53797313371900257</c:v>
                </c:pt>
                <c:pt idx="5">
                  <c:v>0.58655610144566728</c:v>
                </c:pt>
                <c:pt idx="6">
                  <c:v>0.58655610144566728</c:v>
                </c:pt>
                <c:pt idx="7">
                  <c:v>0.59461573302076465</c:v>
                </c:pt>
                <c:pt idx="8">
                  <c:v>0.59461573302076465</c:v>
                </c:pt>
                <c:pt idx="9">
                  <c:v>0.73857666161171609</c:v>
                </c:pt>
                <c:pt idx="10">
                  <c:v>0.73857666161171609</c:v>
                </c:pt>
                <c:pt idx="11">
                  <c:v>0.91607962758313621</c:v>
                </c:pt>
              </c:numCache>
            </c:numRef>
          </c:val>
          <c:smooth val="0"/>
          <c:extLst>
            <c:ext xmlns:c16="http://schemas.microsoft.com/office/drawing/2014/chart" uri="{C3380CC4-5D6E-409C-BE32-E72D297353CC}">
              <c16:uniqueId val="{00000005-ADA3-4936-95D1-3E3B46519BD3}"/>
            </c:ext>
          </c:extLst>
        </c:ser>
        <c:dLbls>
          <c:showLegendKey val="0"/>
          <c:showVal val="0"/>
          <c:showCatName val="0"/>
          <c:showSerName val="0"/>
          <c:showPercent val="0"/>
          <c:showBubbleSize val="0"/>
        </c:dLbls>
        <c:marker val="1"/>
        <c:smooth val="0"/>
        <c:axId val="-934892624"/>
        <c:axId val="-934890448"/>
      </c:lineChart>
      <c:dateAx>
        <c:axId val="-93489262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crossAx val="-934890448"/>
        <c:crosses val="autoZero"/>
        <c:auto val="1"/>
        <c:lblOffset val="100"/>
        <c:baseTimeUnit val="months"/>
      </c:dateAx>
      <c:valAx>
        <c:axId val="-93489044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crossAx val="-93489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000000000000144" l="0.70000000000000062" r="0.70000000000000062" t="0.75000000000000144"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C"/>
              <a:t>CONSUMO DE COMBUSTIBLE</a:t>
            </a:r>
          </a:p>
        </c:rich>
      </c:tx>
      <c:overlay val="0"/>
      <c:spPr>
        <a:noFill/>
        <a:ln>
          <a:noFill/>
        </a:ln>
        <a:effectLst/>
      </c:spPr>
    </c:title>
    <c:autoTitleDeleted val="0"/>
    <c:plotArea>
      <c:layout>
        <c:manualLayout>
          <c:layoutTarget val="inner"/>
          <c:xMode val="edge"/>
          <c:yMode val="edge"/>
          <c:x val="1.9754987250467808E-2"/>
          <c:y val="0.33526527726380412"/>
          <c:w val="0.9604900254990647"/>
          <c:h val="0.56726002375729956"/>
        </c:manualLayout>
      </c:layout>
      <c:barChart>
        <c:barDir val="col"/>
        <c:grouping val="clustered"/>
        <c:varyColors val="0"/>
        <c:ser>
          <c:idx val="1"/>
          <c:order val="0"/>
          <c:tx>
            <c:strRef>
              <c:f>'02_CONSUMO COMBUSTIBLE'!$B$10</c:f>
              <c:strCache>
                <c:ptCount val="1"/>
                <c:pt idx="0">
                  <c:v>SAN CRISTÓBAL DIESEL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'02_CONSUMO COMBUSTIBLE'!$A$89:$A$109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'02_CONSUMO COMBUSTIBLE'!$B$89:$B$109</c:f>
              <c:numCache>
                <c:formatCode>_(* #,##0_);_(* \(#,##0\);_(* "-"??_);_(@_)</c:formatCode>
                <c:ptCount val="12"/>
                <c:pt idx="0">
                  <c:v>69974.859690605765</c:v>
                </c:pt>
                <c:pt idx="1">
                  <c:v>53148.793414092463</c:v>
                </c:pt>
                <c:pt idx="2">
                  <c:v>76747.432146565538</c:v>
                </c:pt>
                <c:pt idx="3">
                  <c:v>88571.461321257841</c:v>
                </c:pt>
                <c:pt idx="4">
                  <c:v>92729.685332558511</c:v>
                </c:pt>
                <c:pt idx="5">
                  <c:v>98967.17446814572</c:v>
                </c:pt>
                <c:pt idx="6">
                  <c:v>100631.23764240391</c:v>
                </c:pt>
                <c:pt idx="7">
                  <c:v>93251.570832413156</c:v>
                </c:pt>
                <c:pt idx="8">
                  <c:v>67865.170365843427</c:v>
                </c:pt>
                <c:pt idx="9">
                  <c:v>68310</c:v>
                </c:pt>
                <c:pt idx="10">
                  <c:v>65350.570852115867</c:v>
                </c:pt>
                <c:pt idx="11">
                  <c:v>65712.221374040702</c:v>
                </c:pt>
              </c:numCache>
            </c:numRef>
          </c:val>
          <c:extLst>
            <c:ext xmlns:c16="http://schemas.microsoft.com/office/drawing/2014/chart" uri="{C3380CC4-5D6E-409C-BE32-E72D297353CC}">
              <c16:uniqueId val="{00000000-E92C-4FFC-ACCC-E955AC39D3CC}"/>
            </c:ext>
          </c:extLst>
        </c:ser>
        <c:ser>
          <c:idx val="2"/>
          <c:order val="1"/>
          <c:tx>
            <c:strRef>
              <c:f>'02_CONSUMO COMBUSTIBLE'!$C$10</c:f>
              <c:strCache>
                <c:ptCount val="1"/>
                <c:pt idx="0">
                  <c:v>SANTA CRUZ DIESEL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'02_CONSUMO COMBUSTIBLE'!$A$89:$A$109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'02_CONSUMO COMBUSTIBLE'!$C$89:$C$109</c:f>
              <c:numCache>
                <c:formatCode>_(* #,##0_);_(* \(#,##0\);_(* "-"??_);_(@_)</c:formatCode>
                <c:ptCount val="12"/>
                <c:pt idx="0">
                  <c:v>128006.40073135452</c:v>
                </c:pt>
                <c:pt idx="1">
                  <c:v>122611.58379916969</c:v>
                </c:pt>
                <c:pt idx="2">
                  <c:v>152614.32200943065</c:v>
                </c:pt>
                <c:pt idx="3">
                  <c:v>193498.395085956</c:v>
                </c:pt>
                <c:pt idx="4">
                  <c:v>195011.3044808337</c:v>
                </c:pt>
                <c:pt idx="5">
                  <c:v>222171.05039994343</c:v>
                </c:pt>
                <c:pt idx="6">
                  <c:v>201836.16508239351</c:v>
                </c:pt>
                <c:pt idx="7">
                  <c:v>204103.60054470657</c:v>
                </c:pt>
                <c:pt idx="8">
                  <c:v>156529.747898437</c:v>
                </c:pt>
                <c:pt idx="9">
                  <c:v>150730</c:v>
                </c:pt>
                <c:pt idx="10">
                  <c:v>137774.3001203223</c:v>
                </c:pt>
                <c:pt idx="11">
                  <c:v>136436.45048882649</c:v>
                </c:pt>
              </c:numCache>
            </c:numRef>
          </c:val>
          <c:extLst>
            <c:ext xmlns:c16="http://schemas.microsoft.com/office/drawing/2014/chart" uri="{C3380CC4-5D6E-409C-BE32-E72D297353CC}">
              <c16:uniqueId val="{00000001-E92C-4FFC-ACCC-E955AC39D3CC}"/>
            </c:ext>
          </c:extLst>
        </c:ser>
        <c:ser>
          <c:idx val="3"/>
          <c:order val="2"/>
          <c:tx>
            <c:strRef>
              <c:f>'02_CONSUMO COMBUSTIBLE'!$D$10</c:f>
              <c:strCache>
                <c:ptCount val="1"/>
                <c:pt idx="0">
                  <c:v>ISABELA DIESEL</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'02_CONSUMO COMBUSTIBLE'!$A$89:$A$109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'02_CONSUMO COMBUSTIBLE'!$D$89:$D$109</c:f>
              <c:numCache>
                <c:formatCode>_(* #,##0_);_(* \(#,##0\);_(* "-"??_);_(@_)</c:formatCode>
                <c:ptCount val="12"/>
                <c:pt idx="0">
                  <c:v>30763</c:v>
                </c:pt>
                <c:pt idx="1">
                  <c:v>30492</c:v>
                </c:pt>
                <c:pt idx="2">
                  <c:v>33295</c:v>
                </c:pt>
                <c:pt idx="3">
                  <c:v>38741</c:v>
                </c:pt>
                <c:pt idx="4">
                  <c:v>39493</c:v>
                </c:pt>
                <c:pt idx="5">
                  <c:v>33283.639421387183</c:v>
                </c:pt>
                <c:pt idx="6">
                  <c:v>41099</c:v>
                </c:pt>
                <c:pt idx="7">
                  <c:v>41177</c:v>
                </c:pt>
                <c:pt idx="8">
                  <c:v>36510</c:v>
                </c:pt>
                <c:pt idx="9">
                  <c:v>36291</c:v>
                </c:pt>
                <c:pt idx="10">
                  <c:v>36165</c:v>
                </c:pt>
                <c:pt idx="11">
                  <c:v>30041</c:v>
                </c:pt>
              </c:numCache>
            </c:numRef>
          </c:val>
          <c:extLst>
            <c:ext xmlns:c16="http://schemas.microsoft.com/office/drawing/2014/chart" uri="{C3380CC4-5D6E-409C-BE32-E72D297353CC}">
              <c16:uniqueId val="{00000002-E92C-4FFC-ACCC-E955AC39D3CC}"/>
            </c:ext>
          </c:extLst>
        </c:ser>
        <c:ser>
          <c:idx val="5"/>
          <c:order val="3"/>
          <c:tx>
            <c:strRef>
              <c:f>'02_CONSUMO COMBUSTIBLE'!$E$10</c:f>
              <c:strCache>
                <c:ptCount val="1"/>
                <c:pt idx="0">
                  <c:v>FLOREANA DIESEL</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'02_CONSUMO COMBUSTIBLE'!$A$89:$A$109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'02_CONSUMO COMBUSTIBLE'!$E$89:$E$109</c:f>
              <c:numCache>
                <c:formatCode>_(* #,##0_);_(* \(#,##0\);_(* "-"??_);_(@_)</c:formatCode>
                <c:ptCount val="12"/>
                <c:pt idx="0">
                  <c:v>952.6</c:v>
                </c:pt>
                <c:pt idx="1">
                  <c:v>960.59999999999991</c:v>
                </c:pt>
                <c:pt idx="2">
                  <c:v>1167.3000000000002</c:v>
                </c:pt>
                <c:pt idx="3">
                  <c:v>2220</c:v>
                </c:pt>
                <c:pt idx="4">
                  <c:v>2431</c:v>
                </c:pt>
                <c:pt idx="5">
                  <c:v>2796</c:v>
                </c:pt>
                <c:pt idx="6">
                  <c:v>2186</c:v>
                </c:pt>
                <c:pt idx="7">
                  <c:v>2620</c:v>
                </c:pt>
                <c:pt idx="8">
                  <c:v>2333</c:v>
                </c:pt>
                <c:pt idx="9">
                  <c:v>2458</c:v>
                </c:pt>
                <c:pt idx="10">
                  <c:v>2260</c:v>
                </c:pt>
                <c:pt idx="11">
                  <c:v>2036</c:v>
                </c:pt>
              </c:numCache>
            </c:numRef>
          </c:val>
          <c:extLst>
            <c:ext xmlns:c16="http://schemas.microsoft.com/office/drawing/2014/chart" uri="{C3380CC4-5D6E-409C-BE32-E72D297353CC}">
              <c16:uniqueId val="{00000003-E92C-4FFC-ACCC-E955AC39D3CC}"/>
            </c:ext>
          </c:extLst>
        </c:ser>
        <c:ser>
          <c:idx val="0"/>
          <c:order val="4"/>
          <c:tx>
            <c:strRef>
              <c:f>'02_CONSUMO COMBUSTIBLE'!$F$10</c:f>
              <c:strCache>
                <c:ptCount val="1"/>
                <c:pt idx="0">
                  <c:v>FLOREANA PIÑÓN</c:v>
                </c:pt>
              </c:strCache>
            </c:strRef>
          </c:tx>
          <c:invertIfNegative val="0"/>
          <c:dLbls>
            <c:spPr>
              <a:noFill/>
              <a:ln>
                <a:noFill/>
              </a:ln>
              <a:effectLst/>
            </c:spPr>
            <c:txPr>
              <a:bodyPr/>
              <a:lstStyle/>
              <a:p>
                <a:pPr algn="ctr">
                  <a:defRPr lang="es-EC" sz="800" b="0" i="0" u="none" strike="noStrike" kern="1200" baseline="0">
                    <a:solidFill>
                      <a:sysClr val="windowText" lastClr="000000">
                        <a:lumMod val="50000"/>
                        <a:lumOff val="50000"/>
                      </a:sysClr>
                    </a:solidFill>
                    <a:latin typeface="+mn-lt"/>
                    <a:ea typeface="+mn-ea"/>
                    <a:cs typeface="+mn-cs"/>
                  </a:defRPr>
                </a:pPr>
                <a:endParaRPr lang="es-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'02_CONSUMO COMBUSTIBLE'!$A$89:$A$109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'02_CONSUMO COMBUSTIBLE'!$F$89:$F$109</c:f>
              <c:numCache>
                <c:formatCode>_(* #,##0_);_(* \(#,##0\);_(* "-"??_);_(@_)</c:formatCode>
                <c:ptCount val="12"/>
                <c:pt idx="0">
                  <c:v>1068.3999999999999</c:v>
                </c:pt>
                <c:pt idx="1">
                  <c:v>1028.4000000000001</c:v>
                </c:pt>
                <c:pt idx="2">
                  <c:v>950.3</c:v>
                </c:pt>
                <c:pt idx="3">
                  <c:v>171.5</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92C-4FFC-ACCC-E955AC39D3CC}"/>
            </c:ext>
          </c:extLst>
        </c:ser>
        <c:dLbls>
          <c:showLegendKey val="0"/>
          <c:showVal val="1"/>
          <c:showCatName val="0"/>
          <c:showSerName val="0"/>
          <c:showPercent val="0"/>
          <c:showBubbleSize val="0"/>
        </c:dLbls>
        <c:gapWidth val="444"/>
        <c:overlap val="-90"/>
        <c:axId val="-941460864"/>
        <c:axId val="-941457056"/>
      </c:barChart>
      <c:dateAx>
        <c:axId val="-94146086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US"/>
          </a:p>
        </c:txPr>
        <c:crossAx val="-941457056"/>
        <c:crosses val="autoZero"/>
        <c:auto val="1"/>
        <c:lblOffset val="100"/>
        <c:baseTimeUnit val="months"/>
      </c:dateAx>
      <c:valAx>
        <c:axId val="-941457056"/>
        <c:scaling>
          <c:orientation val="minMax"/>
        </c:scaling>
        <c:delete val="1"/>
        <c:axPos val="l"/>
        <c:numFmt formatCode="_(* #,##0_);_(* \(#,##0\);_(* &quot;-&quot;_);_(@_)" sourceLinked="0"/>
        <c:majorTickMark val="none"/>
        <c:minorTickMark val="none"/>
        <c:tickLblPos val="none"/>
        <c:crossAx val="-9414608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US"/>
    </a:p>
  </c:txPr>
  <c:printSettings>
    <c:headerFooter/>
    <c:pageMargins b="0.75000000000000344" l="0.70000000000000062" r="0.70000000000000062" t="0.750000000000003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s-EC" sz="1400"/>
              <a:t>Ahorro Combustible Diesel</a:t>
            </a:r>
          </a:p>
        </c:rich>
      </c:tx>
      <c:overlay val="0"/>
    </c:title>
    <c:autoTitleDeleted val="0"/>
    <c:plotArea>
      <c:layout>
        <c:manualLayout>
          <c:layoutTarget val="inner"/>
          <c:xMode val="edge"/>
          <c:yMode val="edge"/>
          <c:x val="0.17761245982338009"/>
          <c:y val="7.834146341463416E-2"/>
          <c:w val="0.78069450670954943"/>
          <c:h val="0.44418590359131943"/>
        </c:manualLayout>
      </c:layout>
      <c:barChart>
        <c:barDir val="bar"/>
        <c:grouping val="stacked"/>
        <c:varyColors val="0"/>
        <c:ser>
          <c:idx val="0"/>
          <c:order val="0"/>
          <c:tx>
            <c:strRef>
              <c:f>'02_2_Ahorro_Galones'!$B$10</c:f>
              <c:strCache>
                <c:ptCount val="1"/>
                <c:pt idx="0">
                  <c:v>SAN CRISTÓBAL</c:v>
                </c:pt>
              </c:strCache>
            </c:strRef>
          </c:tx>
          <c:spPr>
            <a:solidFill>
              <a:schemeClr val="accent2"/>
            </a:solidFill>
          </c:spPr>
          <c:invertIfNegative val="0"/>
          <c:cat>
            <c:numRef>
              <c:f>'02_2_Ahorro_Galones'!$A$90:$A$106</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'02_2_Ahorro_Galones'!$B$90:$B$106</c:f>
              <c:numCache>
                <c:formatCode>_(* #,##0_);_(* \(#,##0\);_(* "-"??_);_(@_)</c:formatCode>
                <c:ptCount val="12"/>
                <c:pt idx="0">
                  <c:v>15471.767526660797</c:v>
                </c:pt>
                <c:pt idx="1">
                  <c:v>26932.513260517255</c:v>
                </c:pt>
                <c:pt idx="2">
                  <c:v>15570.317998197699</c:v>
                </c:pt>
                <c:pt idx="3">
                  <c:v>16304.195237203438</c:v>
                </c:pt>
                <c:pt idx="4">
                  <c:v>5177.5022873613752</c:v>
                </c:pt>
                <c:pt idx="5">
                  <c:v>6599.8906247116529</c:v>
                </c:pt>
                <c:pt idx="6">
                  <c:v>3260.9668566126084</c:v>
                </c:pt>
                <c:pt idx="7">
                  <c:v>19722.342158668405</c:v>
                </c:pt>
                <c:pt idx="8">
                  <c:v>32846.095034893682</c:v>
                </c:pt>
                <c:pt idx="9">
                  <c:v>29733.233060902599</c:v>
                </c:pt>
                <c:pt idx="10">
                  <c:v>24566.981555933082</c:v>
                </c:pt>
                <c:pt idx="11">
                  <c:v>20122.307453613437</c:v>
                </c:pt>
              </c:numCache>
            </c:numRef>
          </c:val>
          <c:extLst>
            <c:ext xmlns:c16="http://schemas.microsoft.com/office/drawing/2014/chart" uri="{C3380CC4-5D6E-409C-BE32-E72D297353CC}">
              <c16:uniqueId val="{00000000-564D-45ED-BD84-7D89ABA67EC2}"/>
            </c:ext>
          </c:extLst>
        </c:ser>
        <c:ser>
          <c:idx val="1"/>
          <c:order val="1"/>
          <c:tx>
            <c:strRef>
              <c:f>'02_2_Ahorro_Galones'!$C$10</c:f>
              <c:strCache>
                <c:ptCount val="1"/>
                <c:pt idx="0">
                  <c:v>SANTA CRUZ </c:v>
                </c:pt>
              </c:strCache>
            </c:strRef>
          </c:tx>
          <c:spPr>
            <a:solidFill>
              <a:schemeClr val="accent3"/>
            </a:solidFill>
          </c:spPr>
          <c:invertIfNegative val="0"/>
          <c:cat>
            <c:numRef>
              <c:f>'02_2_Ahorro_Galones'!$A$90:$A$106</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'02_2_Ahorro_Galones'!$C$90:$C$106</c:f>
              <c:numCache>
                <c:formatCode>_(* #,##0_);_(* \(#,##0\);_(* "-"??_);_(@_)</c:formatCode>
                <c:ptCount val="12"/>
                <c:pt idx="0">
                  <c:v>44634.439456926782</c:v>
                </c:pt>
                <c:pt idx="1">
                  <c:v>48902.642856726234</c:v>
                </c:pt>
                <c:pt idx="2">
                  <c:v>38503.421090422642</c:v>
                </c:pt>
                <c:pt idx="3">
                  <c:v>23764.457725161479</c:v>
                </c:pt>
                <c:pt idx="4">
                  <c:v>19582.288838410183</c:v>
                </c:pt>
                <c:pt idx="5">
                  <c:v>27104.969951211315</c:v>
                </c:pt>
                <c:pt idx="6">
                  <c:v>24851.273353485405</c:v>
                </c:pt>
                <c:pt idx="7">
                  <c:v>25765.049600053724</c:v>
                </c:pt>
                <c:pt idx="8">
                  <c:v>31851.510158054331</c:v>
                </c:pt>
                <c:pt idx="9">
                  <c:v>45602.99095300959</c:v>
                </c:pt>
                <c:pt idx="10">
                  <c:v>48487.877111609771</c:v>
                </c:pt>
                <c:pt idx="11">
                  <c:v>44527.862872825761</c:v>
                </c:pt>
              </c:numCache>
            </c:numRef>
          </c:val>
          <c:extLst>
            <c:ext xmlns:c16="http://schemas.microsoft.com/office/drawing/2014/chart" uri="{C3380CC4-5D6E-409C-BE32-E72D297353CC}">
              <c16:uniqueId val="{00000001-564D-45ED-BD84-7D89ABA67EC2}"/>
            </c:ext>
          </c:extLst>
        </c:ser>
        <c:ser>
          <c:idx val="2"/>
          <c:order val="2"/>
          <c:tx>
            <c:strRef>
              <c:f>'02_2_Ahorro_Galones'!$D$10</c:f>
              <c:strCache>
                <c:ptCount val="1"/>
                <c:pt idx="0">
                  <c:v>ISABELA</c:v>
                </c:pt>
              </c:strCache>
            </c:strRef>
          </c:tx>
          <c:invertIfNegative val="0"/>
          <c:cat>
            <c:numRef>
              <c:f>'02_2_Ahorro_Galones'!$A$90:$A$106</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'02_2_Ahorro_Galones'!$D$73:$D$89</c:f>
            </c:numRef>
          </c:val>
          <c:extLst>
            <c:ext xmlns:c16="http://schemas.microsoft.com/office/drawing/2014/chart" uri="{C3380CC4-5D6E-409C-BE32-E72D297353CC}">
              <c16:uniqueId val="{00000002-564D-45ED-BD84-7D89ABA67EC2}"/>
            </c:ext>
          </c:extLst>
        </c:ser>
        <c:ser>
          <c:idx val="3"/>
          <c:order val="3"/>
          <c:tx>
            <c:strRef>
              <c:f>'02_2_Ahorro_Galones'!$E$10</c:f>
              <c:strCache>
                <c:ptCount val="1"/>
                <c:pt idx="0">
                  <c:v>FLOREANA</c:v>
                </c:pt>
              </c:strCache>
            </c:strRef>
          </c:tx>
          <c:spPr>
            <a:solidFill>
              <a:schemeClr val="accent6"/>
            </a:solidFill>
          </c:spPr>
          <c:invertIfNegative val="0"/>
          <c:cat>
            <c:numRef>
              <c:f>'02_2_Ahorro_Galones'!$A$90:$A$106</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'02_2_Ahorro_Galones'!$E$90:$E$106</c:f>
              <c:numCache>
                <c:formatCode>_(* #,##0_);_(* \(#,##0\);_(* "-"??_);_(@_)</c:formatCode>
                <c:ptCount val="12"/>
                <c:pt idx="0">
                  <c:v>2228.9087892900975</c:v>
                </c:pt>
                <c:pt idx="1">
                  <c:v>2197.6074183652054</c:v>
                </c:pt>
                <c:pt idx="2">
                  <c:v>2325.8498565756477</c:v>
                </c:pt>
                <c:pt idx="3">
                  <c:v>2653.9563035726837</c:v>
                </c:pt>
                <c:pt idx="4">
                  <c:v>2648.7255639325563</c:v>
                </c:pt>
                <c:pt idx="5">
                  <c:v>3068.2780276922881</c:v>
                </c:pt>
                <c:pt idx="6">
                  <c:v>2463.0680653974105</c:v>
                </c:pt>
                <c:pt idx="7">
                  <c:v>2867.6087695533793</c:v>
                </c:pt>
                <c:pt idx="8">
                  <c:v>2538.8015094603688</c:v>
                </c:pt>
                <c:pt idx="9">
                  <c:v>2683.4351840453032</c:v>
                </c:pt>
                <c:pt idx="10">
                  <c:v>2494.6923529126234</c:v>
                </c:pt>
                <c:pt idx="11">
                  <c:v>2255.4834699950252</c:v>
                </c:pt>
              </c:numCache>
            </c:numRef>
          </c:val>
          <c:extLst>
            <c:ext xmlns:c16="http://schemas.microsoft.com/office/drawing/2014/chart" uri="{C3380CC4-5D6E-409C-BE32-E72D297353CC}">
              <c16:uniqueId val="{00000003-564D-45ED-BD84-7D89ABA67EC2}"/>
            </c:ext>
          </c:extLst>
        </c:ser>
        <c:ser>
          <c:idx val="4"/>
          <c:order val="4"/>
          <c:tx>
            <c:strRef>
              <c:f>'02_2_Ahorro_Galones'!$D$10</c:f>
              <c:strCache>
                <c:ptCount val="1"/>
                <c:pt idx="0">
                  <c:v>ISABELA</c:v>
                </c:pt>
              </c:strCache>
            </c:strRef>
          </c:tx>
          <c:invertIfNegative val="0"/>
          <c:val>
            <c:numRef>
              <c:f>'02_2_Ahorro_Galones'!$D$91:$D$106</c:f>
              <c:numCache>
                <c:formatCode>_(* #,##0_);_(* \(#,##0\);_(* "-"??_);_(@_)</c:formatCode>
                <c:ptCount val="12"/>
                <c:pt idx="8">
                  <c:v>576.21636953431312</c:v>
                </c:pt>
                <c:pt idx="9">
                  <c:v>0</c:v>
                </c:pt>
                <c:pt idx="10">
                  <c:v>226.04355659871189</c:v>
                </c:pt>
                <c:pt idx="11">
                  <c:v>7561.0273445203529</c:v>
                </c:pt>
              </c:numCache>
            </c:numRef>
          </c:val>
          <c:extLst>
            <c:ext xmlns:c16="http://schemas.microsoft.com/office/drawing/2014/chart" uri="{C3380CC4-5D6E-409C-BE32-E72D297353CC}">
              <c16:uniqueId val="{00000000-7B13-44DE-80C0-A94185BEF805}"/>
            </c:ext>
          </c:extLst>
        </c:ser>
        <c:dLbls>
          <c:showLegendKey val="0"/>
          <c:showVal val="0"/>
          <c:showCatName val="0"/>
          <c:showSerName val="0"/>
          <c:showPercent val="0"/>
          <c:showBubbleSize val="0"/>
        </c:dLbls>
        <c:gapWidth val="95"/>
        <c:overlap val="100"/>
        <c:axId val="-941455968"/>
        <c:axId val="-941461408"/>
      </c:barChart>
      <c:dateAx>
        <c:axId val="-941455968"/>
        <c:scaling>
          <c:orientation val="minMax"/>
        </c:scaling>
        <c:delete val="0"/>
        <c:axPos val="l"/>
        <c:numFmt formatCode="mmm\-yy" sourceLinked="1"/>
        <c:majorTickMark val="none"/>
        <c:minorTickMark val="none"/>
        <c:tickLblPos val="nextTo"/>
        <c:txPr>
          <a:bodyPr/>
          <a:lstStyle/>
          <a:p>
            <a:pPr algn="ctr">
              <a:defRPr sz="750"/>
            </a:pPr>
            <a:endParaRPr lang="es-US"/>
          </a:p>
        </c:txPr>
        <c:crossAx val="-941461408"/>
        <c:crosses val="autoZero"/>
        <c:auto val="1"/>
        <c:lblOffset val="100"/>
        <c:baseTimeUnit val="months"/>
      </c:dateAx>
      <c:valAx>
        <c:axId val="-941461408"/>
        <c:scaling>
          <c:orientation val="minMax"/>
        </c:scaling>
        <c:delete val="0"/>
        <c:axPos val="b"/>
        <c:majorGridlines/>
        <c:title>
          <c:tx>
            <c:rich>
              <a:bodyPr/>
              <a:lstStyle/>
              <a:p>
                <a:pPr>
                  <a:defRPr sz="1000"/>
                </a:pPr>
                <a:r>
                  <a:rPr lang="es-EC" sz="1000"/>
                  <a:t>Galones Diesel</a:t>
                </a:r>
              </a:p>
            </c:rich>
          </c:tx>
          <c:overlay val="0"/>
        </c:title>
        <c:numFmt formatCode="_(* #,##0_);_(* \(#,##0\);_(* &quot;-&quot;??_);_(@_)" sourceLinked="1"/>
        <c:majorTickMark val="none"/>
        <c:minorTickMark val="none"/>
        <c:tickLblPos val="nextTo"/>
        <c:crossAx val="-941455968"/>
        <c:crosses val="autoZero"/>
        <c:crossBetween val="between"/>
      </c:valAx>
      <c:dTable>
        <c:showHorzBorder val="1"/>
        <c:showVertBorder val="1"/>
        <c:showOutline val="1"/>
        <c:showKeys val="1"/>
        <c:txPr>
          <a:bodyPr/>
          <a:lstStyle/>
          <a:p>
            <a:pPr rtl="0">
              <a:defRPr sz="1050"/>
            </a:pPr>
            <a:endParaRPr lang="es-US"/>
          </a:p>
        </c:txPr>
      </c:dTable>
    </c:plotArea>
    <c:plotVisOnly val="1"/>
    <c:dispBlanksAs val="gap"/>
    <c:showDLblsOverMax val="0"/>
  </c:chart>
  <c:txPr>
    <a:bodyPr/>
    <a:lstStyle/>
    <a:p>
      <a:pPr algn="ctr" rtl="0">
        <a:defRPr lang="es-EC" sz="900" b="0" i="0" u="none" strike="noStrike" kern="1200" baseline="0">
          <a:solidFill>
            <a:sysClr val="windowText" lastClr="000000">
              <a:lumMod val="65000"/>
              <a:lumOff val="35000"/>
            </a:sysClr>
          </a:solidFill>
          <a:latin typeface="+mn-lt"/>
          <a:ea typeface="+mn-ea"/>
          <a:cs typeface="+mn-cs"/>
        </a:defRPr>
      </a:pPr>
      <a:endParaRPr lang="es-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EC" sz="1400"/>
              <a:t>ENERGÍA</a:t>
            </a:r>
            <a:r>
              <a:rPr lang="es-EC" sz="1400" baseline="0"/>
              <a:t>  FACTURADA</a:t>
            </a:r>
            <a:endParaRPr lang="es-EC" sz="1400"/>
          </a:p>
        </c:rich>
      </c:tx>
      <c:overlay val="0"/>
    </c:title>
    <c:autoTitleDeleted val="0"/>
    <c:plotArea>
      <c:layout/>
      <c:lineChart>
        <c:grouping val="standard"/>
        <c:varyColors val="0"/>
        <c:ser>
          <c:idx val="1"/>
          <c:order val="0"/>
          <c:tx>
            <c:strRef>
              <c:f>'03_MWh CONSUMIDA'!$B$10</c:f>
              <c:strCache>
                <c:ptCount val="1"/>
                <c:pt idx="0">
                  <c:v>Residencial</c:v>
                </c:pt>
              </c:strCache>
            </c:strRef>
          </c:tx>
          <c:cat>
            <c:numRef>
              <c:f>'03_MWh CONSUMIDA'!$A$89:$A$109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'03_MWh CONSUMIDA'!$B$89:$B$109</c:f>
              <c:numCache>
                <c:formatCode>_(* #,##0.00_);_(* \(#,##0.00\);_(* "-"??_);_(@_)</c:formatCode>
                <c:ptCount val="12"/>
                <c:pt idx="0">
                  <c:v>1348.04</c:v>
                </c:pt>
                <c:pt idx="1">
                  <c:v>1418.9110000000001</c:v>
                </c:pt>
                <c:pt idx="2">
                  <c:v>1358.095</c:v>
                </c:pt>
                <c:pt idx="3">
                  <c:v>1626.53</c:v>
                </c:pt>
                <c:pt idx="4">
                  <c:v>1957.2510000000002</c:v>
                </c:pt>
                <c:pt idx="5">
                  <c:v>1803.7949999999998</c:v>
                </c:pt>
                <c:pt idx="6">
                  <c:v>1883.5219999999999</c:v>
                </c:pt>
                <c:pt idx="7">
                  <c:v>1996.931</c:v>
                </c:pt>
                <c:pt idx="8">
                  <c:v>1606.4649999999999</c:v>
                </c:pt>
                <c:pt idx="9">
                  <c:v>1490.5239999999999</c:v>
                </c:pt>
                <c:pt idx="10">
                  <c:v>1537.7949999999998</c:v>
                </c:pt>
                <c:pt idx="11">
                  <c:v>1465.84</c:v>
                </c:pt>
              </c:numCache>
            </c:numRef>
          </c:val>
          <c:smooth val="0"/>
          <c:extLst>
            <c:ext xmlns:c16="http://schemas.microsoft.com/office/drawing/2014/chart" uri="{C3380CC4-5D6E-409C-BE32-E72D297353CC}">
              <c16:uniqueId val="{00000000-215E-4FF7-A4B4-378C78DE0A53}"/>
            </c:ext>
          </c:extLst>
        </c:ser>
        <c:ser>
          <c:idx val="2"/>
          <c:order val="1"/>
          <c:tx>
            <c:strRef>
              <c:f>'03_MWh CONSUMIDA'!$C$10</c:f>
              <c:strCache>
                <c:ptCount val="1"/>
                <c:pt idx="0">
                  <c:v>Comercial</c:v>
                </c:pt>
              </c:strCache>
            </c:strRef>
          </c:tx>
          <c:cat>
            <c:numRef>
              <c:f>'03_MWh CONSUMIDA'!$A$89:$A$109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'03_MWh CONSUMIDA'!$C$89:$C$109</c:f>
              <c:numCache>
                <c:formatCode>_(* #,##0.00_);_(* \(#,##0.00\);_(* "-"??_);_(@_)</c:formatCode>
                <c:ptCount val="12"/>
                <c:pt idx="0">
                  <c:v>1172.9780000000001</c:v>
                </c:pt>
                <c:pt idx="1">
                  <c:v>1312.134</c:v>
                </c:pt>
                <c:pt idx="2">
                  <c:v>1258.1089999999999</c:v>
                </c:pt>
                <c:pt idx="3">
                  <c:v>1609.1679999999999</c:v>
                </c:pt>
                <c:pt idx="4">
                  <c:v>1904.3939999999998</c:v>
                </c:pt>
                <c:pt idx="5">
                  <c:v>1816.278</c:v>
                </c:pt>
                <c:pt idx="6">
                  <c:v>1930.249</c:v>
                </c:pt>
                <c:pt idx="7">
                  <c:v>1971.0269999999998</c:v>
                </c:pt>
                <c:pt idx="8">
                  <c:v>1646.4390000000001</c:v>
                </c:pt>
                <c:pt idx="9">
                  <c:v>1541.0830000000001</c:v>
                </c:pt>
                <c:pt idx="10">
                  <c:v>1593.5</c:v>
                </c:pt>
                <c:pt idx="11">
                  <c:v>1460.14</c:v>
                </c:pt>
              </c:numCache>
            </c:numRef>
          </c:val>
          <c:smooth val="0"/>
          <c:extLst>
            <c:ext xmlns:c16="http://schemas.microsoft.com/office/drawing/2014/chart" uri="{C3380CC4-5D6E-409C-BE32-E72D297353CC}">
              <c16:uniqueId val="{00000001-215E-4FF7-A4B4-378C78DE0A53}"/>
            </c:ext>
          </c:extLst>
        </c:ser>
        <c:ser>
          <c:idx val="3"/>
          <c:order val="2"/>
          <c:tx>
            <c:strRef>
              <c:f>'03_MWh CONSUMIDA'!$D$10</c:f>
              <c:strCache>
                <c:ptCount val="1"/>
                <c:pt idx="0">
                  <c:v>Industrial</c:v>
                </c:pt>
              </c:strCache>
            </c:strRef>
          </c:tx>
          <c:cat>
            <c:numRef>
              <c:f>'03_MWh CONSUMIDA'!$A$89:$A$109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'03_MWh CONSUMIDA'!$D$89:$D$109</c:f>
              <c:numCache>
                <c:formatCode>_(* #,##0.00_);_(* \(#,##0.00\);_(* "-"??_);_(@_)</c:formatCode>
                <c:ptCount val="12"/>
                <c:pt idx="0">
                  <c:v>33.322000000000003</c:v>
                </c:pt>
                <c:pt idx="1">
                  <c:v>35.759</c:v>
                </c:pt>
                <c:pt idx="2">
                  <c:v>34.092000000000006</c:v>
                </c:pt>
                <c:pt idx="3">
                  <c:v>36.231000000000009</c:v>
                </c:pt>
                <c:pt idx="4">
                  <c:v>38.276000000000003</c:v>
                </c:pt>
                <c:pt idx="5">
                  <c:v>36.855999999999995</c:v>
                </c:pt>
                <c:pt idx="6">
                  <c:v>43.394000000000005</c:v>
                </c:pt>
                <c:pt idx="7">
                  <c:v>41.949000000000005</c:v>
                </c:pt>
                <c:pt idx="8">
                  <c:v>38.097999999999999</c:v>
                </c:pt>
                <c:pt idx="9">
                  <c:v>34.959000000000003</c:v>
                </c:pt>
                <c:pt idx="10">
                  <c:v>36.722000000000008</c:v>
                </c:pt>
                <c:pt idx="11">
                  <c:v>37.22</c:v>
                </c:pt>
              </c:numCache>
            </c:numRef>
          </c:val>
          <c:smooth val="0"/>
          <c:extLst>
            <c:ext xmlns:c16="http://schemas.microsoft.com/office/drawing/2014/chart" uri="{C3380CC4-5D6E-409C-BE32-E72D297353CC}">
              <c16:uniqueId val="{00000002-215E-4FF7-A4B4-378C78DE0A53}"/>
            </c:ext>
          </c:extLst>
        </c:ser>
        <c:ser>
          <c:idx val="4"/>
          <c:order val="3"/>
          <c:tx>
            <c:strRef>
              <c:f>'03_MWh CONSUMIDA'!$E$10</c:f>
              <c:strCache>
                <c:ptCount val="1"/>
                <c:pt idx="0">
                  <c:v>A. Público</c:v>
                </c:pt>
              </c:strCache>
            </c:strRef>
          </c:tx>
          <c:cat>
            <c:numRef>
              <c:f>'03_MWh CONSUMIDA'!$A$89:$A$109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'03_MWh CONSUMIDA'!$E$89:$E$109</c:f>
              <c:numCache>
                <c:formatCode>_(* #,##0.00_);_(* \(#,##0.00\);_(* "-"??_);_(@_)</c:formatCode>
                <c:ptCount val="12"/>
                <c:pt idx="0">
                  <c:v>145.62200000000001</c:v>
                </c:pt>
                <c:pt idx="1">
                  <c:v>154.59</c:v>
                </c:pt>
                <c:pt idx="2">
                  <c:v>154.12800000000001</c:v>
                </c:pt>
                <c:pt idx="3">
                  <c:v>145.923</c:v>
                </c:pt>
                <c:pt idx="4">
                  <c:v>162.102</c:v>
                </c:pt>
                <c:pt idx="5">
                  <c:v>155.358</c:v>
                </c:pt>
                <c:pt idx="6">
                  <c:v>161.934</c:v>
                </c:pt>
                <c:pt idx="7">
                  <c:v>158.31699999999998</c:v>
                </c:pt>
                <c:pt idx="8">
                  <c:v>157.65</c:v>
                </c:pt>
                <c:pt idx="9">
                  <c:v>156.92500000000001</c:v>
                </c:pt>
                <c:pt idx="10">
                  <c:v>152.33199999999999</c:v>
                </c:pt>
                <c:pt idx="11">
                  <c:v>157</c:v>
                </c:pt>
              </c:numCache>
            </c:numRef>
          </c:val>
          <c:smooth val="0"/>
          <c:extLst>
            <c:ext xmlns:c16="http://schemas.microsoft.com/office/drawing/2014/chart" uri="{C3380CC4-5D6E-409C-BE32-E72D297353CC}">
              <c16:uniqueId val="{00000003-215E-4FF7-A4B4-378C78DE0A53}"/>
            </c:ext>
          </c:extLst>
        </c:ser>
        <c:ser>
          <c:idx val="5"/>
          <c:order val="4"/>
          <c:tx>
            <c:strRef>
              <c:f>'03_MWh CONSUMIDA'!$F$10</c:f>
              <c:strCache>
                <c:ptCount val="1"/>
                <c:pt idx="0">
                  <c:v>Otros</c:v>
                </c:pt>
              </c:strCache>
            </c:strRef>
          </c:tx>
          <c:cat>
            <c:numRef>
              <c:f>'03_MWh CONSUMIDA'!$A$89:$A$109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'03_MWh CONSUMIDA'!$F$89:$F$109</c:f>
              <c:numCache>
                <c:formatCode>_(* #,##0.00_);_(* \(#,##0.00\);_(* "-"??_);_(@_)</c:formatCode>
                <c:ptCount val="12"/>
                <c:pt idx="0">
                  <c:v>745.35199999999986</c:v>
                </c:pt>
                <c:pt idx="1">
                  <c:v>733.8570000000002</c:v>
                </c:pt>
                <c:pt idx="2">
                  <c:v>608.60099999999989</c:v>
                </c:pt>
                <c:pt idx="3">
                  <c:v>786.70299999999975</c:v>
                </c:pt>
                <c:pt idx="4">
                  <c:v>887.80999999999983</c:v>
                </c:pt>
                <c:pt idx="5">
                  <c:v>950.12400000000014</c:v>
                </c:pt>
                <c:pt idx="6">
                  <c:v>922.32199999999978</c:v>
                </c:pt>
                <c:pt idx="7">
                  <c:v>922.50499999999977</c:v>
                </c:pt>
                <c:pt idx="8">
                  <c:v>690.43499999999995</c:v>
                </c:pt>
                <c:pt idx="9">
                  <c:v>556.76400000000001</c:v>
                </c:pt>
                <c:pt idx="10">
                  <c:v>572.02300000000002</c:v>
                </c:pt>
                <c:pt idx="11">
                  <c:v>567.11</c:v>
                </c:pt>
              </c:numCache>
            </c:numRef>
          </c:val>
          <c:smooth val="0"/>
          <c:extLst>
            <c:ext xmlns:c16="http://schemas.microsoft.com/office/drawing/2014/chart" uri="{C3380CC4-5D6E-409C-BE32-E72D297353CC}">
              <c16:uniqueId val="{00000004-215E-4FF7-A4B4-378C78DE0A53}"/>
            </c:ext>
          </c:extLst>
        </c:ser>
        <c:ser>
          <c:idx val="0"/>
          <c:order val="5"/>
          <c:tx>
            <c:strRef>
              <c:f>'03_MWh CONSUMIDA'!$G$10</c:f>
              <c:strCache>
                <c:ptCount val="1"/>
                <c:pt idx="0">
                  <c:v>Total</c:v>
                </c:pt>
              </c:strCache>
            </c:strRef>
          </c:tx>
          <c:cat>
            <c:numRef>
              <c:f>'03_MWh CONSUMIDA'!$A$89:$A$109</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'03_MWh CONSUMIDA'!$G$89:$G$109</c:f>
              <c:numCache>
                <c:formatCode>_(* #,##0.00_);_(* \(#,##0.00\);_(* "-"??_);_(@_)</c:formatCode>
                <c:ptCount val="12"/>
                <c:pt idx="0">
                  <c:v>3445.3139999999999</c:v>
                </c:pt>
                <c:pt idx="1">
                  <c:v>3655.2510000000002</c:v>
                </c:pt>
                <c:pt idx="2">
                  <c:v>3413.0249999999996</c:v>
                </c:pt>
                <c:pt idx="3">
                  <c:v>4204.5549999999994</c:v>
                </c:pt>
                <c:pt idx="4">
                  <c:v>4949.8329999999996</c:v>
                </c:pt>
                <c:pt idx="5">
                  <c:v>4762.4110000000001</c:v>
                </c:pt>
                <c:pt idx="6">
                  <c:v>4941.4210000000003</c:v>
                </c:pt>
                <c:pt idx="7">
                  <c:v>5090.7289999999994</c:v>
                </c:pt>
                <c:pt idx="8">
                  <c:v>4139.0870000000004</c:v>
                </c:pt>
                <c:pt idx="9">
                  <c:v>3780.2550000000001</c:v>
                </c:pt>
                <c:pt idx="10">
                  <c:v>3892.3720000000003</c:v>
                </c:pt>
                <c:pt idx="11">
                  <c:v>3687.31</c:v>
                </c:pt>
              </c:numCache>
            </c:numRef>
          </c:val>
          <c:smooth val="0"/>
          <c:extLst>
            <c:ext xmlns:c16="http://schemas.microsoft.com/office/drawing/2014/chart" uri="{C3380CC4-5D6E-409C-BE32-E72D297353CC}">
              <c16:uniqueId val="{00000005-215E-4FF7-A4B4-378C78DE0A53}"/>
            </c:ext>
          </c:extLst>
        </c:ser>
        <c:dLbls>
          <c:showLegendKey val="0"/>
          <c:showVal val="0"/>
          <c:showCatName val="0"/>
          <c:showSerName val="0"/>
          <c:showPercent val="0"/>
          <c:showBubbleSize val="0"/>
        </c:dLbls>
        <c:marker val="1"/>
        <c:smooth val="0"/>
        <c:axId val="-941459776"/>
        <c:axId val="-941458688"/>
      </c:lineChart>
      <c:dateAx>
        <c:axId val="-941459776"/>
        <c:scaling>
          <c:orientation val="minMax"/>
        </c:scaling>
        <c:delete val="0"/>
        <c:axPos val="b"/>
        <c:numFmt formatCode="mmm\-yy" sourceLinked="1"/>
        <c:majorTickMark val="none"/>
        <c:minorTickMark val="none"/>
        <c:tickLblPos val="nextTo"/>
        <c:txPr>
          <a:bodyPr/>
          <a:lstStyle/>
          <a:p>
            <a:pPr>
              <a:defRPr lang="es-ES" sz="700">
                <a:latin typeface="Myriad Condensed Web" pitchFamily="34" charset="0"/>
              </a:defRPr>
            </a:pPr>
            <a:endParaRPr lang="es-US"/>
          </a:p>
        </c:txPr>
        <c:crossAx val="-941458688"/>
        <c:crosses val="autoZero"/>
        <c:auto val="1"/>
        <c:lblOffset val="100"/>
        <c:baseTimeUnit val="months"/>
      </c:dateAx>
      <c:valAx>
        <c:axId val="-941458688"/>
        <c:scaling>
          <c:orientation val="minMax"/>
        </c:scaling>
        <c:delete val="0"/>
        <c:axPos val="l"/>
        <c:majorGridlines/>
        <c:title>
          <c:tx>
            <c:rich>
              <a:bodyPr/>
              <a:lstStyle/>
              <a:p>
                <a:pPr>
                  <a:defRPr lang="es-ES"/>
                </a:pPr>
                <a:r>
                  <a:rPr lang="es-EC"/>
                  <a:t>MWH</a:t>
                </a:r>
              </a:p>
            </c:rich>
          </c:tx>
          <c:overlay val="0"/>
        </c:title>
        <c:numFmt formatCode="_(* #,##0_);_(* \(#,##0\);_(* &quot;-&quot;_);_(@_)" sourceLinked="0"/>
        <c:majorTickMark val="none"/>
        <c:minorTickMark val="none"/>
        <c:tickLblPos val="nextTo"/>
        <c:txPr>
          <a:bodyPr/>
          <a:lstStyle/>
          <a:p>
            <a:pPr>
              <a:defRPr lang="es-ES" sz="700">
                <a:latin typeface="Myriad Condensed Web" pitchFamily="34" charset="0"/>
              </a:defRPr>
            </a:pPr>
            <a:endParaRPr lang="es-US"/>
          </a:p>
        </c:txPr>
        <c:crossAx val="-941459776"/>
        <c:crosses val="autoZero"/>
        <c:crossBetween val="between"/>
      </c:valAx>
      <c:dTable>
        <c:showHorzBorder val="1"/>
        <c:showVertBorder val="1"/>
        <c:showOutline val="1"/>
        <c:showKeys val="1"/>
        <c:txPr>
          <a:bodyPr/>
          <a:lstStyle/>
          <a:p>
            <a:pPr rtl="0">
              <a:defRPr lang="es-ES"/>
            </a:pPr>
            <a:endParaRPr lang="es-US"/>
          </a:p>
        </c:txPr>
      </c:dTable>
    </c:plotArea>
    <c:plotVisOnly val="1"/>
    <c:dispBlanksAs val="gap"/>
    <c:showDLblsOverMax val="0"/>
  </c:chart>
  <c:printSettings>
    <c:headerFooter/>
    <c:pageMargins b="0.75000000000000344" l="0.70000000000000062" r="0.70000000000000062" t="0.75000000000000344"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C" sz="1400"/>
              <a:t>Facturación</a:t>
            </a:r>
            <a:r>
              <a:rPr lang="es-EC" sz="1400" baseline="0"/>
              <a:t> por Energía Consumida</a:t>
            </a:r>
            <a:endParaRPr lang="es-EC" sz="1400"/>
          </a:p>
        </c:rich>
      </c:tx>
      <c:overlay val="0"/>
    </c:title>
    <c:autoTitleDeleted val="0"/>
    <c:plotArea>
      <c:layout/>
      <c:lineChart>
        <c:grouping val="standard"/>
        <c:varyColors val="0"/>
        <c:ser>
          <c:idx val="0"/>
          <c:order val="0"/>
          <c:tx>
            <c:strRef>
              <c:f>'04_FACT x kWh CONSUMIDA'!$B$10</c:f>
              <c:strCache>
                <c:ptCount val="1"/>
                <c:pt idx="0">
                  <c:v>Residencial</c:v>
                </c:pt>
              </c:strCache>
            </c:strRef>
          </c:tx>
          <c:spPr>
            <a:ln w="22225"/>
          </c:spPr>
          <c:cat>
            <c:numRef>
              <c:f>'04_FACT x kWh CONSUMIDA'!$A$35:$A$103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'04_FACT x kWh CONSUMIDA'!$B$35:$B$103</c:f>
              <c:numCache>
                <c:formatCode>_(* #,##0_);_(* \(#,##0\);_(* "-"??_);_(@_)</c:formatCode>
                <c:ptCount val="12"/>
                <c:pt idx="0">
                  <c:v>2004280.17</c:v>
                </c:pt>
                <c:pt idx="1">
                  <c:v>2015913.02</c:v>
                </c:pt>
                <c:pt idx="2">
                  <c:v>2011929.59</c:v>
                </c:pt>
                <c:pt idx="3">
                  <c:v>2005570.3</c:v>
                </c:pt>
                <c:pt idx="4">
                  <c:v>2016103.05</c:v>
                </c:pt>
                <c:pt idx="5">
                  <c:v>2013572.3099999998</c:v>
                </c:pt>
                <c:pt idx="6">
                  <c:v>1991101.1199999996</c:v>
                </c:pt>
                <c:pt idx="7">
                  <c:v>2010503.8399999999</c:v>
                </c:pt>
                <c:pt idx="8">
                  <c:v>2013564.05</c:v>
                </c:pt>
                <c:pt idx="9">
                  <c:v>2021584.3</c:v>
                </c:pt>
                <c:pt idx="10">
                  <c:v>2039723.6799999997</c:v>
                </c:pt>
                <c:pt idx="11">
                  <c:v>2052915</c:v>
                </c:pt>
              </c:numCache>
            </c:numRef>
          </c:val>
          <c:smooth val="0"/>
          <c:extLst>
            <c:ext xmlns:c16="http://schemas.microsoft.com/office/drawing/2014/chart" uri="{C3380CC4-5D6E-409C-BE32-E72D297353CC}">
              <c16:uniqueId val="{00000000-C7A9-4AF8-ABC2-4CD88EA02154}"/>
            </c:ext>
          </c:extLst>
        </c:ser>
        <c:ser>
          <c:idx val="1"/>
          <c:order val="1"/>
          <c:tx>
            <c:strRef>
              <c:f>'04_FACT x kWh CONSUMIDA'!$C$10</c:f>
              <c:strCache>
                <c:ptCount val="1"/>
                <c:pt idx="0">
                  <c:v>Comercial</c:v>
                </c:pt>
              </c:strCache>
            </c:strRef>
          </c:tx>
          <c:cat>
            <c:numRef>
              <c:f>'04_FACT x kWh CONSUMIDA'!$A$35:$A$103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'04_FACT x kWh CONSUMIDA'!$C$35:$C$103</c:f>
              <c:numCache>
                <c:formatCode>_(* #,##0_);_(* \(#,##0\);_(* "-"??_);_(@_)</c:formatCode>
                <c:ptCount val="12"/>
                <c:pt idx="0">
                  <c:v>1885350.3199999996</c:v>
                </c:pt>
                <c:pt idx="1">
                  <c:v>1900221.0799999996</c:v>
                </c:pt>
                <c:pt idx="2">
                  <c:v>1896376.8299999996</c:v>
                </c:pt>
                <c:pt idx="3">
                  <c:v>1899986.2599999995</c:v>
                </c:pt>
                <c:pt idx="4">
                  <c:v>1919511.0999999999</c:v>
                </c:pt>
                <c:pt idx="5">
                  <c:v>1934376.7899999996</c:v>
                </c:pt>
                <c:pt idx="6">
                  <c:v>1938357.7999999998</c:v>
                </c:pt>
                <c:pt idx="7">
                  <c:v>1971216.86</c:v>
                </c:pt>
                <c:pt idx="8">
                  <c:v>1989829.37</c:v>
                </c:pt>
                <c:pt idx="9">
                  <c:v>2012538.99</c:v>
                </c:pt>
                <c:pt idx="10">
                  <c:v>2050166.8199999996</c:v>
                </c:pt>
                <c:pt idx="11">
                  <c:v>2085516</c:v>
                </c:pt>
              </c:numCache>
            </c:numRef>
          </c:val>
          <c:smooth val="0"/>
          <c:extLst>
            <c:ext xmlns:c16="http://schemas.microsoft.com/office/drawing/2014/chart" uri="{C3380CC4-5D6E-409C-BE32-E72D297353CC}">
              <c16:uniqueId val="{00000001-C7A9-4AF8-ABC2-4CD88EA02154}"/>
            </c:ext>
          </c:extLst>
        </c:ser>
        <c:ser>
          <c:idx val="2"/>
          <c:order val="2"/>
          <c:tx>
            <c:strRef>
              <c:f>'04_FACT x kWh CONSUMIDA'!$D$10</c:f>
              <c:strCache>
                <c:ptCount val="1"/>
                <c:pt idx="0">
                  <c:v>Industrial</c:v>
                </c:pt>
              </c:strCache>
            </c:strRef>
          </c:tx>
          <c:cat>
            <c:numRef>
              <c:f>'04_FACT x kWh CONSUMIDA'!$A$35:$A$103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'04_FACT x kWh CONSUMIDA'!$D$35:$D$103</c:f>
              <c:numCache>
                <c:formatCode>_(* #,##0_);_(* \(#,##0\);_(* "-"??_);_(@_)</c:formatCode>
                <c:ptCount val="12"/>
                <c:pt idx="0">
                  <c:v>56265.909999999996</c:v>
                </c:pt>
                <c:pt idx="1">
                  <c:v>56235.25</c:v>
                </c:pt>
                <c:pt idx="2">
                  <c:v>55584.53</c:v>
                </c:pt>
                <c:pt idx="3">
                  <c:v>54757.61</c:v>
                </c:pt>
                <c:pt idx="4">
                  <c:v>54053.47</c:v>
                </c:pt>
                <c:pt idx="5">
                  <c:v>53480.820000000007</c:v>
                </c:pt>
                <c:pt idx="6">
                  <c:v>53542.080000000002</c:v>
                </c:pt>
                <c:pt idx="7">
                  <c:v>53579.24</c:v>
                </c:pt>
                <c:pt idx="8">
                  <c:v>52965.81</c:v>
                </c:pt>
                <c:pt idx="9">
                  <c:v>51797.120000000003</c:v>
                </c:pt>
                <c:pt idx="10">
                  <c:v>50535.96</c:v>
                </c:pt>
                <c:pt idx="11">
                  <c:v>50028</c:v>
                </c:pt>
              </c:numCache>
            </c:numRef>
          </c:val>
          <c:smooth val="0"/>
          <c:extLst>
            <c:ext xmlns:c16="http://schemas.microsoft.com/office/drawing/2014/chart" uri="{C3380CC4-5D6E-409C-BE32-E72D297353CC}">
              <c16:uniqueId val="{00000002-C7A9-4AF8-ABC2-4CD88EA02154}"/>
            </c:ext>
          </c:extLst>
        </c:ser>
        <c:ser>
          <c:idx val="3"/>
          <c:order val="3"/>
          <c:tx>
            <c:strRef>
              <c:f>'04_FACT x kWh CONSUMIDA'!$E$10</c:f>
              <c:strCache>
                <c:ptCount val="1"/>
                <c:pt idx="0">
                  <c:v>A. Público</c:v>
                </c:pt>
              </c:strCache>
            </c:strRef>
          </c:tx>
          <c:cat>
            <c:numRef>
              <c:f>'04_FACT x kWh CONSUMIDA'!$A$35:$A$103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'04_FACT x kWh CONSUMIDA'!$E$35:$E$103</c:f>
              <c:numCache>
                <c:formatCode>_(* #,##0_);_(* \(#,##0\);_(* "-"??_);_(@_)</c:formatCode>
                <c:ptCount val="12"/>
                <c:pt idx="0">
                  <c:v>343685.64999999997</c:v>
                </c:pt>
                <c:pt idx="1">
                  <c:v>315070.31</c:v>
                </c:pt>
                <c:pt idx="2">
                  <c:v>284140.25999999995</c:v>
                </c:pt>
                <c:pt idx="3">
                  <c:v>361486.49</c:v>
                </c:pt>
                <c:pt idx="4">
                  <c:v>360611.07999999996</c:v>
                </c:pt>
                <c:pt idx="5">
                  <c:v>358396.3</c:v>
                </c:pt>
                <c:pt idx="6">
                  <c:v>355320.73999999993</c:v>
                </c:pt>
                <c:pt idx="7">
                  <c:v>358363.75999999995</c:v>
                </c:pt>
                <c:pt idx="8">
                  <c:v>358683.17</c:v>
                </c:pt>
                <c:pt idx="9">
                  <c:v>359653.72</c:v>
                </c:pt>
                <c:pt idx="10">
                  <c:v>362547.77</c:v>
                </c:pt>
                <c:pt idx="11">
                  <c:v>365251</c:v>
                </c:pt>
              </c:numCache>
            </c:numRef>
          </c:val>
          <c:smooth val="0"/>
          <c:extLst>
            <c:ext xmlns:c16="http://schemas.microsoft.com/office/drawing/2014/chart" uri="{C3380CC4-5D6E-409C-BE32-E72D297353CC}">
              <c16:uniqueId val="{00000003-C7A9-4AF8-ABC2-4CD88EA02154}"/>
            </c:ext>
          </c:extLst>
        </c:ser>
        <c:ser>
          <c:idx val="4"/>
          <c:order val="4"/>
          <c:tx>
            <c:strRef>
              <c:f>'04_FACT x kWh CONSUMIDA'!$F$10</c:f>
              <c:strCache>
                <c:ptCount val="1"/>
                <c:pt idx="0">
                  <c:v>Otros</c:v>
                </c:pt>
              </c:strCache>
            </c:strRef>
          </c:tx>
          <c:cat>
            <c:numRef>
              <c:f>'04_FACT x kWh CONSUMIDA'!$A$35:$A$103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'04_FACT x kWh CONSUMIDA'!$F$35:$F$103</c:f>
              <c:numCache>
                <c:formatCode>_(* #,##0_);_(* \(#,##0\);_(* "-"??_);_(@_)</c:formatCode>
                <c:ptCount val="12"/>
                <c:pt idx="0">
                  <c:v>944721.87999999989</c:v>
                </c:pt>
                <c:pt idx="1">
                  <c:v>945516.28999999992</c:v>
                </c:pt>
                <c:pt idx="2">
                  <c:v>937154.07</c:v>
                </c:pt>
                <c:pt idx="3">
                  <c:v>979909.75</c:v>
                </c:pt>
                <c:pt idx="4">
                  <c:v>960774.83</c:v>
                </c:pt>
                <c:pt idx="5">
                  <c:v>952529.57</c:v>
                </c:pt>
                <c:pt idx="6">
                  <c:v>1042171.82</c:v>
                </c:pt>
                <c:pt idx="7">
                  <c:v>920676.00999999989</c:v>
                </c:pt>
                <c:pt idx="8">
                  <c:v>899968.12</c:v>
                </c:pt>
                <c:pt idx="9">
                  <c:v>875015.96</c:v>
                </c:pt>
                <c:pt idx="10">
                  <c:v>853458.86999999988</c:v>
                </c:pt>
                <c:pt idx="11">
                  <c:v>834866.45</c:v>
                </c:pt>
              </c:numCache>
            </c:numRef>
          </c:val>
          <c:smooth val="0"/>
          <c:extLst>
            <c:ext xmlns:c16="http://schemas.microsoft.com/office/drawing/2014/chart" uri="{C3380CC4-5D6E-409C-BE32-E72D297353CC}">
              <c16:uniqueId val="{00000004-C7A9-4AF8-ABC2-4CD88EA02154}"/>
            </c:ext>
          </c:extLst>
        </c:ser>
        <c:dLbls>
          <c:showLegendKey val="0"/>
          <c:showVal val="0"/>
          <c:showCatName val="0"/>
          <c:showSerName val="0"/>
          <c:showPercent val="0"/>
          <c:showBubbleSize val="0"/>
        </c:dLbls>
        <c:marker val="1"/>
        <c:smooth val="0"/>
        <c:axId val="-941470656"/>
        <c:axId val="-941469024"/>
      </c:lineChart>
      <c:dateAx>
        <c:axId val="-941470656"/>
        <c:scaling>
          <c:orientation val="minMax"/>
        </c:scaling>
        <c:delete val="0"/>
        <c:axPos val="b"/>
        <c:numFmt formatCode="mmm\-yy" sourceLinked="1"/>
        <c:majorTickMark val="none"/>
        <c:minorTickMark val="none"/>
        <c:tickLblPos val="nextTo"/>
        <c:txPr>
          <a:bodyPr/>
          <a:lstStyle/>
          <a:p>
            <a:pPr>
              <a:defRPr lang="es-ES" sz="700">
                <a:latin typeface="Myriad Condensed Web" pitchFamily="34" charset="0"/>
              </a:defRPr>
            </a:pPr>
            <a:endParaRPr lang="es-US"/>
          </a:p>
        </c:txPr>
        <c:crossAx val="-941469024"/>
        <c:crosses val="autoZero"/>
        <c:auto val="1"/>
        <c:lblOffset val="100"/>
        <c:baseTimeUnit val="months"/>
      </c:dateAx>
      <c:valAx>
        <c:axId val="-941469024"/>
        <c:scaling>
          <c:orientation val="minMax"/>
        </c:scaling>
        <c:delete val="0"/>
        <c:axPos val="l"/>
        <c:majorGridlines/>
        <c:numFmt formatCode="_(* #,##0_);_(* \(#,##0\);_(* &quot;-&quot;??_);_(@_)" sourceLinked="1"/>
        <c:majorTickMark val="none"/>
        <c:minorTickMark val="none"/>
        <c:tickLblPos val="nextTo"/>
        <c:spPr>
          <a:ln w="9525">
            <a:noFill/>
          </a:ln>
        </c:spPr>
        <c:txPr>
          <a:bodyPr/>
          <a:lstStyle/>
          <a:p>
            <a:pPr>
              <a:defRPr lang="es-ES" sz="700">
                <a:latin typeface="Myriad Condensed Web" pitchFamily="34" charset="0"/>
              </a:defRPr>
            </a:pPr>
            <a:endParaRPr lang="es-US"/>
          </a:p>
        </c:txPr>
        <c:crossAx val="-941470656"/>
        <c:crosses val="autoZero"/>
        <c:crossBetween val="between"/>
      </c:valAx>
      <c:spPr>
        <a:ln cap="sq" cmpd="sng">
          <a:prstDash val="solid"/>
        </a:ln>
      </c:spPr>
    </c:plotArea>
    <c:legend>
      <c:legendPos val="b"/>
      <c:legendEntry>
        <c:idx val="0"/>
        <c:txPr>
          <a:bodyPr/>
          <a:lstStyle/>
          <a:p>
            <a:pPr>
              <a:defRPr sz="1000" b="1">
                <a:solidFill>
                  <a:schemeClr val="tx2">
                    <a:lumMod val="75000"/>
                  </a:schemeClr>
                </a:solidFill>
                <a:latin typeface="Myriad Condensed Web" pitchFamily="34" charset="0"/>
              </a:defRPr>
            </a:pPr>
            <a:endParaRPr lang="es-US"/>
          </a:p>
        </c:txPr>
      </c:legendEntry>
      <c:legendEntry>
        <c:idx val="1"/>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legendEntry>
        <c:idx val="2"/>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legendEntry>
        <c:idx val="3"/>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legendEntry>
        <c:idx val="4"/>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overlay val="0"/>
      <c:txPr>
        <a:bodyPr/>
        <a:lstStyle/>
        <a:p>
          <a:pPr>
            <a:defRPr lang="es-ES" sz="800" b="0">
              <a:latin typeface="Myriad Condensed Web" pitchFamily="34" charset="0"/>
            </a:defRPr>
          </a:pPr>
          <a:endParaRPr lang="es-US"/>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t>Recaudación</a:t>
            </a:r>
            <a:r>
              <a:rPr lang="es-EC" sz="1400" baseline="0"/>
              <a:t> por Venta de Energía</a:t>
            </a:r>
            <a:endParaRPr lang="es-EC" sz="1400"/>
          </a:p>
        </c:rich>
      </c:tx>
      <c:overlay val="0"/>
    </c:title>
    <c:autoTitleDeleted val="0"/>
    <c:plotArea>
      <c:layout/>
      <c:lineChart>
        <c:grouping val="standard"/>
        <c:varyColors val="0"/>
        <c:ser>
          <c:idx val="0"/>
          <c:order val="0"/>
          <c:tx>
            <c:strRef>
              <c:f>'05_RECAU X kWh CONSUMIDA'!$B$10</c:f>
              <c:strCache>
                <c:ptCount val="1"/>
                <c:pt idx="0">
                  <c:v>Residencial</c:v>
                </c:pt>
              </c:strCache>
            </c:strRef>
          </c:tx>
          <c:spPr>
            <a:ln w="22225"/>
          </c:spPr>
          <c:cat>
            <c:numRef>
              <c:f>'05_RECAU X kWh CONSUMIDA'!$A$87:$A$103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'05_RECAU X kWh CONSUMIDA'!$B$87:$B$103</c:f>
              <c:numCache>
                <c:formatCode>_(* #,##0_);_(* \(#,##0\);_(* "-"??_);_(@_)</c:formatCode>
                <c:ptCount val="12"/>
                <c:pt idx="0">
                  <c:v>1933922.4</c:v>
                </c:pt>
                <c:pt idx="1">
                  <c:v>1943935.8900000001</c:v>
                </c:pt>
                <c:pt idx="2">
                  <c:v>1940710.02</c:v>
                </c:pt>
                <c:pt idx="3">
                  <c:v>1937829.91</c:v>
                </c:pt>
                <c:pt idx="4">
                  <c:v>1939115.7699999998</c:v>
                </c:pt>
                <c:pt idx="5">
                  <c:v>1941083.02</c:v>
                </c:pt>
                <c:pt idx="6">
                  <c:v>1914237.5</c:v>
                </c:pt>
                <c:pt idx="7">
                  <c:v>1928978.19</c:v>
                </c:pt>
                <c:pt idx="8">
                  <c:v>1929735.36</c:v>
                </c:pt>
                <c:pt idx="9">
                  <c:v>1936439.97</c:v>
                </c:pt>
                <c:pt idx="10">
                  <c:v>1951659.4199999997</c:v>
                </c:pt>
                <c:pt idx="11">
                  <c:v>1960228</c:v>
                </c:pt>
              </c:numCache>
            </c:numRef>
          </c:val>
          <c:smooth val="0"/>
          <c:extLst>
            <c:ext xmlns:c16="http://schemas.microsoft.com/office/drawing/2014/chart" uri="{C3380CC4-5D6E-409C-BE32-E72D297353CC}">
              <c16:uniqueId val="{00000000-A0AA-43E0-8DE8-5B47E3532685}"/>
            </c:ext>
          </c:extLst>
        </c:ser>
        <c:ser>
          <c:idx val="1"/>
          <c:order val="1"/>
          <c:tx>
            <c:strRef>
              <c:f>'05_RECAU X kWh CONSUMIDA'!$C$10</c:f>
              <c:strCache>
                <c:ptCount val="1"/>
                <c:pt idx="0">
                  <c:v>Comercial</c:v>
                </c:pt>
              </c:strCache>
            </c:strRef>
          </c:tx>
          <c:spPr>
            <a:ln w="22225">
              <a:prstDash val="solid"/>
            </a:ln>
          </c:spPr>
          <c:cat>
            <c:numRef>
              <c:f>'05_RECAU X kWh CONSUMIDA'!$A$87:$A$103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'05_RECAU X kWh CONSUMIDA'!$C$87:$C$103</c:f>
              <c:numCache>
                <c:formatCode>_(* #,##0_);_(* \(#,##0\);_(* "-"??_);_(@_)</c:formatCode>
                <c:ptCount val="12"/>
                <c:pt idx="0">
                  <c:v>1875778.36</c:v>
                </c:pt>
                <c:pt idx="1">
                  <c:v>1890515.79</c:v>
                </c:pt>
                <c:pt idx="2">
                  <c:v>1890075.51</c:v>
                </c:pt>
                <c:pt idx="3">
                  <c:v>1906482.02</c:v>
                </c:pt>
                <c:pt idx="4">
                  <c:v>1915387.63</c:v>
                </c:pt>
                <c:pt idx="5">
                  <c:v>1926612.6700000002</c:v>
                </c:pt>
                <c:pt idx="6">
                  <c:v>1929162.1100000003</c:v>
                </c:pt>
                <c:pt idx="7">
                  <c:v>1960658.62</c:v>
                </c:pt>
                <c:pt idx="8">
                  <c:v>1982189.34</c:v>
                </c:pt>
                <c:pt idx="9">
                  <c:v>2005807.88</c:v>
                </c:pt>
                <c:pt idx="10">
                  <c:v>2043093.37</c:v>
                </c:pt>
                <c:pt idx="11">
                  <c:v>2080823</c:v>
                </c:pt>
              </c:numCache>
            </c:numRef>
          </c:val>
          <c:smooth val="0"/>
          <c:extLst>
            <c:ext xmlns:c16="http://schemas.microsoft.com/office/drawing/2014/chart" uri="{C3380CC4-5D6E-409C-BE32-E72D297353CC}">
              <c16:uniqueId val="{00000001-A0AA-43E0-8DE8-5B47E3532685}"/>
            </c:ext>
          </c:extLst>
        </c:ser>
        <c:ser>
          <c:idx val="2"/>
          <c:order val="2"/>
          <c:tx>
            <c:strRef>
              <c:f>'05_RECAU X kWh CONSUMIDA'!$D$10</c:f>
              <c:strCache>
                <c:ptCount val="1"/>
                <c:pt idx="0">
                  <c:v>Industrial</c:v>
                </c:pt>
              </c:strCache>
            </c:strRef>
          </c:tx>
          <c:spPr>
            <a:ln w="22225">
              <a:prstDash val="solid"/>
            </a:ln>
          </c:spPr>
          <c:marker>
            <c:symbol val="none"/>
          </c:marker>
          <c:cat>
            <c:numRef>
              <c:f>'05_RECAU X kWh CONSUMIDA'!$A$87:$A$103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'05_RECAU X kWh CONSUMIDA'!$D$87:$D$103</c:f>
              <c:numCache>
                <c:formatCode>_(* #,##0_);_(* \(#,##0\);_(* "-"??_);_(@_)</c:formatCode>
                <c:ptCount val="12"/>
                <c:pt idx="0">
                  <c:v>56801.390000000007</c:v>
                </c:pt>
                <c:pt idx="1">
                  <c:v>56819.960000000006</c:v>
                </c:pt>
                <c:pt idx="2">
                  <c:v>55540.680000000008</c:v>
                </c:pt>
                <c:pt idx="3">
                  <c:v>54956.82</c:v>
                </c:pt>
                <c:pt idx="4">
                  <c:v>54158.82</c:v>
                </c:pt>
                <c:pt idx="5">
                  <c:v>54087.169999999991</c:v>
                </c:pt>
                <c:pt idx="6">
                  <c:v>53247.56</c:v>
                </c:pt>
                <c:pt idx="7">
                  <c:v>53473.66</c:v>
                </c:pt>
                <c:pt idx="8">
                  <c:v>53034.16</c:v>
                </c:pt>
                <c:pt idx="9">
                  <c:v>51805.11</c:v>
                </c:pt>
                <c:pt idx="10">
                  <c:v>50426.55000000001</c:v>
                </c:pt>
                <c:pt idx="11">
                  <c:v>49790</c:v>
                </c:pt>
              </c:numCache>
            </c:numRef>
          </c:val>
          <c:smooth val="0"/>
          <c:extLst>
            <c:ext xmlns:c16="http://schemas.microsoft.com/office/drawing/2014/chart" uri="{C3380CC4-5D6E-409C-BE32-E72D297353CC}">
              <c16:uniqueId val="{00000002-A0AA-43E0-8DE8-5B47E3532685}"/>
            </c:ext>
          </c:extLst>
        </c:ser>
        <c:ser>
          <c:idx val="3"/>
          <c:order val="3"/>
          <c:tx>
            <c:strRef>
              <c:f>'05_RECAU X kWh CONSUMIDA'!$E$10</c:f>
              <c:strCache>
                <c:ptCount val="1"/>
                <c:pt idx="0">
                  <c:v>A. Público</c:v>
                </c:pt>
              </c:strCache>
            </c:strRef>
          </c:tx>
          <c:spPr>
            <a:ln w="22225">
              <a:prstDash val="solid"/>
            </a:ln>
          </c:spPr>
          <c:cat>
            <c:numRef>
              <c:f>'05_RECAU X kWh CONSUMIDA'!$A$87:$A$103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'05_RECAU X kWh CONSUMIDA'!$E$87:$E$103</c:f>
              <c:numCache>
                <c:formatCode>_(* #,##0_);_(* \(#,##0\);_(* "-"??_);_(@_)</c:formatCode>
                <c:ptCount val="12"/>
                <c:pt idx="0">
                  <c:v>347829.85</c:v>
                </c:pt>
                <c:pt idx="1">
                  <c:v>319184.64000000001</c:v>
                </c:pt>
                <c:pt idx="2">
                  <c:v>288911.14</c:v>
                </c:pt>
                <c:pt idx="3">
                  <c:v>386706.26999999996</c:v>
                </c:pt>
                <c:pt idx="4">
                  <c:v>381208.95</c:v>
                </c:pt>
                <c:pt idx="5">
                  <c:v>379544.17999999993</c:v>
                </c:pt>
                <c:pt idx="6">
                  <c:v>375521.55</c:v>
                </c:pt>
                <c:pt idx="7">
                  <c:v>377135.69</c:v>
                </c:pt>
                <c:pt idx="8">
                  <c:v>377160.18</c:v>
                </c:pt>
                <c:pt idx="9">
                  <c:v>377527.45</c:v>
                </c:pt>
                <c:pt idx="10">
                  <c:v>380263.68999999994</c:v>
                </c:pt>
                <c:pt idx="11">
                  <c:v>383051</c:v>
                </c:pt>
              </c:numCache>
            </c:numRef>
          </c:val>
          <c:smooth val="0"/>
          <c:extLst>
            <c:ext xmlns:c16="http://schemas.microsoft.com/office/drawing/2014/chart" uri="{C3380CC4-5D6E-409C-BE32-E72D297353CC}">
              <c16:uniqueId val="{00000003-A0AA-43E0-8DE8-5B47E3532685}"/>
            </c:ext>
          </c:extLst>
        </c:ser>
        <c:ser>
          <c:idx val="4"/>
          <c:order val="4"/>
          <c:tx>
            <c:strRef>
              <c:f>'05_RECAU X kWh CONSUMIDA'!$F$10</c:f>
              <c:strCache>
                <c:ptCount val="1"/>
                <c:pt idx="0">
                  <c:v>Otros</c:v>
                </c:pt>
              </c:strCache>
            </c:strRef>
          </c:tx>
          <c:spPr>
            <a:ln w="22225">
              <a:prstDash val="solid"/>
            </a:ln>
          </c:spPr>
          <c:cat>
            <c:numRef>
              <c:f>'05_RECAU X kWh CONSUMIDA'!$A$87:$A$103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'05_RECAU X kWh CONSUMIDA'!$F$87:$F$103</c:f>
              <c:numCache>
                <c:formatCode>_(* #,##0_);_(* \(#,##0\);_(* "-"??_);_(@_)</c:formatCode>
                <c:ptCount val="12"/>
                <c:pt idx="0">
                  <c:v>953463.87</c:v>
                </c:pt>
                <c:pt idx="1">
                  <c:v>951081.20999999985</c:v>
                </c:pt>
                <c:pt idx="2">
                  <c:v>935978.74000000011</c:v>
                </c:pt>
                <c:pt idx="3">
                  <c:v>996390.11999999988</c:v>
                </c:pt>
                <c:pt idx="4">
                  <c:v>947954.64999999979</c:v>
                </c:pt>
                <c:pt idx="5">
                  <c:v>943243.7699999999</c:v>
                </c:pt>
                <c:pt idx="6">
                  <c:v>919001.77999999991</c:v>
                </c:pt>
                <c:pt idx="7">
                  <c:v>888732.52</c:v>
                </c:pt>
                <c:pt idx="8">
                  <c:v>876312.54</c:v>
                </c:pt>
                <c:pt idx="9">
                  <c:v>841159.17</c:v>
                </c:pt>
                <c:pt idx="10">
                  <c:v>816410.42999999993</c:v>
                </c:pt>
                <c:pt idx="11">
                  <c:v>794590.63000000012</c:v>
                </c:pt>
              </c:numCache>
            </c:numRef>
          </c:val>
          <c:smooth val="0"/>
          <c:extLst>
            <c:ext xmlns:c16="http://schemas.microsoft.com/office/drawing/2014/chart" uri="{C3380CC4-5D6E-409C-BE32-E72D297353CC}">
              <c16:uniqueId val="{00000004-A0AA-43E0-8DE8-5B47E3532685}"/>
            </c:ext>
          </c:extLst>
        </c:ser>
        <c:dLbls>
          <c:showLegendKey val="0"/>
          <c:showVal val="0"/>
          <c:showCatName val="0"/>
          <c:showSerName val="0"/>
          <c:showPercent val="0"/>
          <c:showBubbleSize val="0"/>
        </c:dLbls>
        <c:marker val="1"/>
        <c:smooth val="0"/>
        <c:axId val="-941466304"/>
        <c:axId val="-941466848"/>
      </c:lineChart>
      <c:dateAx>
        <c:axId val="-941466304"/>
        <c:scaling>
          <c:orientation val="minMax"/>
        </c:scaling>
        <c:delete val="0"/>
        <c:axPos val="b"/>
        <c:numFmt formatCode="mmm\-yy" sourceLinked="1"/>
        <c:majorTickMark val="none"/>
        <c:minorTickMark val="none"/>
        <c:tickLblPos val="nextTo"/>
        <c:txPr>
          <a:bodyPr/>
          <a:lstStyle/>
          <a:p>
            <a:pPr algn="ctr">
              <a:defRPr lang="es-EC" sz="700" b="0" i="0" u="none" strike="noStrike" kern="1200" baseline="0">
                <a:solidFill>
                  <a:sysClr val="windowText" lastClr="000000"/>
                </a:solidFill>
                <a:latin typeface="Myriad Condensed Web" pitchFamily="34" charset="0"/>
                <a:ea typeface="+mn-ea"/>
                <a:cs typeface="+mn-cs"/>
              </a:defRPr>
            </a:pPr>
            <a:endParaRPr lang="es-US"/>
          </a:p>
        </c:txPr>
        <c:crossAx val="-941466848"/>
        <c:crosses val="autoZero"/>
        <c:auto val="1"/>
        <c:lblOffset val="100"/>
        <c:baseTimeUnit val="months"/>
      </c:dateAx>
      <c:valAx>
        <c:axId val="-941466848"/>
        <c:scaling>
          <c:orientation val="minMax"/>
        </c:scaling>
        <c:delete val="0"/>
        <c:axPos val="l"/>
        <c:majorGridlines/>
        <c:numFmt formatCode="_(* #,##0_);_(* \(#,##0\);_(* &quot;-&quot;??_);_(@_)" sourceLinked="1"/>
        <c:majorTickMark val="none"/>
        <c:minorTickMark val="none"/>
        <c:tickLblPos val="nextTo"/>
        <c:spPr>
          <a:ln w="9525">
            <a:noFill/>
          </a:ln>
        </c:spPr>
        <c:txPr>
          <a:bodyPr/>
          <a:lstStyle/>
          <a:p>
            <a:pPr algn="ctr">
              <a:defRPr lang="es-EC" sz="700" b="0" i="0" u="none" strike="noStrike" kern="1200" baseline="0">
                <a:solidFill>
                  <a:sysClr val="windowText" lastClr="000000"/>
                </a:solidFill>
                <a:latin typeface="Myriad Condensed Web" pitchFamily="34" charset="0"/>
                <a:ea typeface="+mn-ea"/>
                <a:cs typeface="+mn-cs"/>
              </a:defRPr>
            </a:pPr>
            <a:endParaRPr lang="es-US"/>
          </a:p>
        </c:txPr>
        <c:crossAx val="-941466304"/>
        <c:crosses val="autoZero"/>
        <c:crossBetween val="between"/>
      </c:valAx>
      <c:spPr>
        <a:noFill/>
        <a:ln>
          <a:solidFill>
            <a:schemeClr val="accent1"/>
          </a:solidFill>
        </a:ln>
      </c:spPr>
    </c:plotArea>
    <c:legend>
      <c:legendPos val="b"/>
      <c:legendEntry>
        <c:idx val="0"/>
        <c:txPr>
          <a:bodyPr/>
          <a:lstStyle/>
          <a:p>
            <a:pPr>
              <a:defRPr sz="1000" b="1">
                <a:solidFill>
                  <a:schemeClr val="tx2">
                    <a:lumMod val="75000"/>
                  </a:schemeClr>
                </a:solidFill>
                <a:latin typeface="Myriad Condensed Web" pitchFamily="34" charset="0"/>
              </a:defRPr>
            </a:pPr>
            <a:endParaRPr lang="es-US"/>
          </a:p>
        </c:txPr>
      </c:legendEntry>
      <c:legendEntry>
        <c:idx val="1"/>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legendEntry>
        <c:idx val="2"/>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legendEntry>
        <c:idx val="3"/>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legendEntry>
        <c:idx val="4"/>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overlay val="0"/>
      <c:txPr>
        <a:bodyPr/>
        <a:lstStyle/>
        <a:p>
          <a:pPr>
            <a:defRPr lang="es-ES" sz="800" b="0">
              <a:latin typeface="Myriad Condensed Web" pitchFamily="34" charset="0"/>
            </a:defRPr>
          </a:pPr>
          <a:endParaRPr lang="es-US"/>
        </a:p>
      </c:txPr>
    </c:legend>
    <c:plotVisOnly val="1"/>
    <c:dispBlanksAs val="gap"/>
    <c:showDLblsOverMax val="0"/>
  </c:chart>
  <c:printSettings>
    <c:headerFooter/>
    <c:pageMargins b="0.75000000000000344" l="0.70000000000000062" r="0.70000000000000062" t="0.75000000000000344"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200"/>
            </a:pPr>
            <a:r>
              <a:rPr lang="es-EC" sz="1200"/>
              <a:t>PORCENTAJE</a:t>
            </a:r>
            <a:r>
              <a:rPr lang="es-EC" sz="1200" baseline="0"/>
              <a:t> DE RECAUDACIÓN POR VENTA DE ENERGÍA</a:t>
            </a:r>
            <a:br>
              <a:rPr lang="es-EC" sz="1200" baseline="0"/>
            </a:br>
            <a:endParaRPr lang="es-EC" sz="1200"/>
          </a:p>
        </c:rich>
      </c:tx>
      <c:overlay val="0"/>
    </c:title>
    <c:autoTitleDeleted val="0"/>
    <c:plotArea>
      <c:layout/>
      <c:barChart>
        <c:barDir val="col"/>
        <c:grouping val="clustered"/>
        <c:varyColors val="0"/>
        <c:ser>
          <c:idx val="2"/>
          <c:order val="0"/>
          <c:tx>
            <c:strRef>
              <c:f>'06_IND_RECAUDACION'!$B$10</c:f>
              <c:strCache>
                <c:ptCount val="1"/>
                <c:pt idx="0">
                  <c:v>Recaudación</c:v>
                </c:pt>
              </c:strCache>
            </c:strRef>
          </c:tx>
          <c:spPr>
            <a:solidFill>
              <a:schemeClr val="accent3">
                <a:lumMod val="60000"/>
                <a:lumOff val="40000"/>
                <a:alpha val="91000"/>
              </a:schemeClr>
            </a:solidFill>
            <a:ln w="0"/>
            <a:effectLst>
              <a:outerShdw blurRad="50800" dist="38100" dir="2700000" algn="tl" rotWithShape="0">
                <a:prstClr val="black">
                  <a:alpha val="40000"/>
                </a:prstClr>
              </a:outerShdw>
            </a:effectLst>
          </c:spPr>
          <c:invertIfNegative val="0"/>
          <c:cat>
            <c:numRef>
              <c:f>'06_IND_RECAUDACION'!$A$88:$A$103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'06_IND_RECAUDACION'!$B$87:$B$103</c:f>
              <c:numCache>
                <c:formatCode>_(* #,##0_);_(* \(#,##0\);_(* "-"??_);_(@_)</c:formatCode>
                <c:ptCount val="12"/>
                <c:pt idx="0">
                  <c:v>5290908.6400000006</c:v>
                </c:pt>
                <c:pt idx="1">
                  <c:v>5297728.42</c:v>
                </c:pt>
                <c:pt idx="2">
                  <c:v>5268071.87</c:v>
                </c:pt>
                <c:pt idx="3">
                  <c:v>5282365.1399999997</c:v>
                </c:pt>
                <c:pt idx="4">
                  <c:v>5237825.8199999984</c:v>
                </c:pt>
                <c:pt idx="5">
                  <c:v>5244570.8099999996</c:v>
                </c:pt>
                <c:pt idx="6">
                  <c:v>5191170.5000000009</c:v>
                </c:pt>
                <c:pt idx="7">
                  <c:v>5208978.68</c:v>
                </c:pt>
                <c:pt idx="8">
                  <c:v>5218431.58</c:v>
                </c:pt>
                <c:pt idx="9">
                  <c:v>5212739.58</c:v>
                </c:pt>
                <c:pt idx="10">
                  <c:v>5241853.459999999</c:v>
                </c:pt>
                <c:pt idx="11">
                  <c:v>5268482.5599999996</c:v>
                </c:pt>
              </c:numCache>
            </c:numRef>
          </c:val>
          <c:extLst>
            <c:ext xmlns:c16="http://schemas.microsoft.com/office/drawing/2014/chart" uri="{C3380CC4-5D6E-409C-BE32-E72D297353CC}">
              <c16:uniqueId val="{00000000-1160-4FB3-8943-1E07B92E95A0}"/>
            </c:ext>
          </c:extLst>
        </c:ser>
        <c:ser>
          <c:idx val="1"/>
          <c:order val="1"/>
          <c:tx>
            <c:strRef>
              <c:f>'06_IND_RECAUDACION'!$C$10</c:f>
              <c:strCache>
                <c:ptCount val="1"/>
                <c:pt idx="0">
                  <c:v>Facturación</c:v>
                </c:pt>
              </c:strCache>
            </c:strRef>
          </c:tx>
          <c:spPr>
            <a:solidFill>
              <a:schemeClr val="accent1">
                <a:alpha val="91000"/>
              </a:schemeClr>
            </a:solidFill>
            <a:ln>
              <a:noFill/>
            </a:ln>
            <a:effectLst>
              <a:outerShdw blurRad="50800" dist="38100" dir="2700000" algn="tl" rotWithShape="0">
                <a:prstClr val="black">
                  <a:alpha val="40000"/>
                </a:prstClr>
              </a:outerShdw>
            </a:effectLst>
          </c:spPr>
          <c:invertIfNegative val="0"/>
          <c:cat>
            <c:numRef>
              <c:f>'06_IND_RECAUDACION'!$A$88:$A$103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'06_IND_RECAUDACION'!$C$87:$C$103</c:f>
              <c:numCache>
                <c:formatCode>_(* #,##0_);_(* \(#,##0\);_(* "-"??_);_(@_)</c:formatCode>
                <c:ptCount val="12"/>
                <c:pt idx="0">
                  <c:v>5358355.75</c:v>
                </c:pt>
                <c:pt idx="1">
                  <c:v>5354561.01</c:v>
                </c:pt>
                <c:pt idx="2">
                  <c:v>5326661.93</c:v>
                </c:pt>
                <c:pt idx="3">
                  <c:v>5301710.4099999992</c:v>
                </c:pt>
                <c:pt idx="4">
                  <c:v>5311053.53</c:v>
                </c:pt>
                <c:pt idx="5">
                  <c:v>5312355.79</c:v>
                </c:pt>
                <c:pt idx="6">
                  <c:v>5380493.5599999996</c:v>
                </c:pt>
                <c:pt idx="7">
                  <c:v>5314339.71</c:v>
                </c:pt>
                <c:pt idx="8">
                  <c:v>5315010.5199999996</c:v>
                </c:pt>
                <c:pt idx="9">
                  <c:v>5320590.09</c:v>
                </c:pt>
                <c:pt idx="10">
                  <c:v>5356433.0999999987</c:v>
                </c:pt>
                <c:pt idx="11">
                  <c:v>5388576.3400000008</c:v>
                </c:pt>
              </c:numCache>
            </c:numRef>
          </c:val>
          <c:extLst>
            <c:ext xmlns:c16="http://schemas.microsoft.com/office/drawing/2014/chart" uri="{C3380CC4-5D6E-409C-BE32-E72D297353CC}">
              <c16:uniqueId val="{00000001-1160-4FB3-8943-1E07B92E95A0}"/>
            </c:ext>
          </c:extLst>
        </c:ser>
        <c:dLbls>
          <c:showLegendKey val="0"/>
          <c:showVal val="0"/>
          <c:showCatName val="0"/>
          <c:showSerName val="0"/>
          <c:showPercent val="0"/>
          <c:showBubbleSize val="0"/>
        </c:dLbls>
        <c:gapWidth val="75"/>
        <c:overlap val="-25"/>
        <c:axId val="-942214752"/>
        <c:axId val="-942213664"/>
      </c:barChart>
      <c:lineChart>
        <c:grouping val="standard"/>
        <c:varyColors val="0"/>
        <c:ser>
          <c:idx val="0"/>
          <c:order val="2"/>
          <c:tx>
            <c:strRef>
              <c:f>'06_IND_RECAUDACION'!$D$10</c:f>
              <c:strCache>
                <c:ptCount val="1"/>
                <c:pt idx="0">
                  <c:v>Índice</c:v>
                </c:pt>
              </c:strCache>
            </c:strRef>
          </c:tx>
          <c:spPr>
            <a:ln w="34925">
              <a:solidFill>
                <a:schemeClr val="bg2">
                  <a:lumMod val="25000"/>
                </a:schemeClr>
              </a:solidFill>
            </a:ln>
          </c:spPr>
          <c:marker>
            <c:symbol val="diamond"/>
            <c:size val="4"/>
            <c:spPr>
              <a:solidFill>
                <a:schemeClr val="accent5">
                  <a:lumMod val="40000"/>
                  <a:lumOff val="60000"/>
                </a:schemeClr>
              </a:solidFill>
              <a:ln w="3175">
                <a:solidFill>
                  <a:schemeClr val="accent5">
                    <a:lumMod val="75000"/>
                  </a:schemeClr>
                </a:solidFill>
              </a:ln>
            </c:spPr>
          </c:marker>
          <c:cat>
            <c:numRef>
              <c:f>'06_IND_RECAUDACION'!$A$87:$A$103</c:f>
              <c:numCache>
                <c:formatCode>mmm\-yy</c:formatCode>
                <c:ptCount val="12"/>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numCache>
            </c:numRef>
          </c:cat>
          <c:val>
            <c:numRef>
              <c:f>'06_IND_RECAUDACION'!$D$87:$D$103</c:f>
              <c:numCache>
                <c:formatCode>0.00%</c:formatCode>
                <c:ptCount val="12"/>
                <c:pt idx="0">
                  <c:v>0.98741272264350877</c:v>
                </c:pt>
                <c:pt idx="1">
                  <c:v>0.98938613456941449</c:v>
                </c:pt>
                <c:pt idx="2">
                  <c:v>0.98900060473708351</c:v>
                </c:pt>
                <c:pt idx="3">
                  <c:v>0.99635112661689129</c:v>
                </c:pt>
                <c:pt idx="4">
                  <c:v>0.9862122063755584</c:v>
                </c:pt>
                <c:pt idx="5">
                  <c:v>0.98724012798096106</c:v>
                </c:pt>
                <c:pt idx="6">
                  <c:v>0.96481306818997503</c:v>
                </c:pt>
                <c:pt idx="7">
                  <c:v>0.98017420117089193</c:v>
                </c:pt>
                <c:pt idx="8">
                  <c:v>0.98182902185488063</c:v>
                </c:pt>
                <c:pt idx="9">
                  <c:v>0.97972959612079424</c:v>
                </c:pt>
                <c:pt idx="10">
                  <c:v>0.97860896647808415</c:v>
                </c:pt>
                <c:pt idx="11">
                  <c:v>0.97771326368552458</c:v>
                </c:pt>
              </c:numCache>
            </c:numRef>
          </c:val>
          <c:smooth val="0"/>
          <c:extLst>
            <c:ext xmlns:c16="http://schemas.microsoft.com/office/drawing/2014/chart" uri="{C3380CC4-5D6E-409C-BE32-E72D297353CC}">
              <c16:uniqueId val="{00000002-1160-4FB3-8943-1E07B92E95A0}"/>
            </c:ext>
          </c:extLst>
        </c:ser>
        <c:dLbls>
          <c:showLegendKey val="0"/>
          <c:showVal val="0"/>
          <c:showCatName val="0"/>
          <c:showSerName val="0"/>
          <c:showPercent val="0"/>
          <c:showBubbleSize val="0"/>
        </c:dLbls>
        <c:marker val="1"/>
        <c:smooth val="0"/>
        <c:axId val="-942203328"/>
        <c:axId val="-942202784"/>
      </c:lineChart>
      <c:catAx>
        <c:axId val="-942203328"/>
        <c:scaling>
          <c:orientation val="minMax"/>
        </c:scaling>
        <c:delete val="0"/>
        <c:axPos val="b"/>
        <c:numFmt formatCode="mmm\-yy" sourceLinked="1"/>
        <c:majorTickMark val="none"/>
        <c:minorTickMark val="none"/>
        <c:tickLblPos val="nextTo"/>
        <c:spPr>
          <a:ln w="3175"/>
        </c:spPr>
        <c:txPr>
          <a:bodyPr rot="0" vert="horz" anchor="b" anchorCtr="0"/>
          <a:lstStyle/>
          <a:p>
            <a:pPr>
              <a:defRPr lang="es-ES" sz="700">
                <a:latin typeface="Myriad Condensed Web" pitchFamily="34" charset="0"/>
              </a:defRPr>
            </a:pPr>
            <a:endParaRPr lang="es-US"/>
          </a:p>
        </c:txPr>
        <c:crossAx val="-942202784"/>
        <c:crossesAt val="0"/>
        <c:auto val="0"/>
        <c:lblAlgn val="ctr"/>
        <c:lblOffset val="100"/>
        <c:noMultiLvlLbl val="0"/>
      </c:catAx>
      <c:valAx>
        <c:axId val="-942202784"/>
        <c:scaling>
          <c:orientation val="minMax"/>
          <c:max val="1.5"/>
          <c:min val="0"/>
        </c:scaling>
        <c:delete val="0"/>
        <c:axPos val="l"/>
        <c:majorGridlines>
          <c:spPr>
            <a:ln w="3175"/>
          </c:spPr>
        </c:majorGridlines>
        <c:numFmt formatCode="#,##0.00" sourceLinked="0"/>
        <c:majorTickMark val="none"/>
        <c:minorTickMark val="none"/>
        <c:tickLblPos val="nextTo"/>
        <c:spPr>
          <a:ln w="25400">
            <a:noFill/>
          </a:ln>
        </c:spPr>
        <c:txPr>
          <a:bodyPr/>
          <a:lstStyle/>
          <a:p>
            <a:pPr>
              <a:defRPr lang="es-ES" sz="700">
                <a:latin typeface="Myriad Condensed Web" pitchFamily="34" charset="0"/>
              </a:defRPr>
            </a:pPr>
            <a:endParaRPr lang="es-US"/>
          </a:p>
        </c:txPr>
        <c:crossAx val="-942203328"/>
        <c:crosses val="autoZero"/>
        <c:crossBetween val="between"/>
        <c:majorUnit val="0.2"/>
        <c:minorUnit val="0.1"/>
      </c:valAx>
      <c:valAx>
        <c:axId val="-942213664"/>
        <c:scaling>
          <c:orientation val="minMax"/>
        </c:scaling>
        <c:delete val="0"/>
        <c:axPos val="r"/>
        <c:numFmt formatCode="#,##0" sourceLinked="0"/>
        <c:majorTickMark val="out"/>
        <c:minorTickMark val="none"/>
        <c:tickLblPos val="nextTo"/>
        <c:spPr>
          <a:ln w="3175"/>
        </c:spPr>
        <c:txPr>
          <a:bodyPr/>
          <a:lstStyle/>
          <a:p>
            <a:pPr>
              <a:defRPr lang="es-ES" sz="700">
                <a:latin typeface="Myriad Condensed Web" pitchFamily="34" charset="0"/>
              </a:defRPr>
            </a:pPr>
            <a:endParaRPr lang="es-US"/>
          </a:p>
        </c:txPr>
        <c:crossAx val="-942214752"/>
        <c:crosses val="max"/>
        <c:crossBetween val="between"/>
      </c:valAx>
      <c:dateAx>
        <c:axId val="-942214752"/>
        <c:scaling>
          <c:orientation val="minMax"/>
        </c:scaling>
        <c:delete val="1"/>
        <c:axPos val="b"/>
        <c:numFmt formatCode="mmm\-yy" sourceLinked="1"/>
        <c:majorTickMark val="out"/>
        <c:minorTickMark val="none"/>
        <c:tickLblPos val="none"/>
        <c:crossAx val="-942213664"/>
        <c:crosses val="autoZero"/>
        <c:auto val="1"/>
        <c:lblOffset val="100"/>
        <c:baseTimeUnit val="months"/>
      </c:dateAx>
    </c:plotArea>
    <c:legend>
      <c:legendPos val="b"/>
      <c:legendEntry>
        <c:idx val="0"/>
        <c:txPr>
          <a:bodyPr/>
          <a:lstStyle/>
          <a:p>
            <a:pPr>
              <a:defRPr lang="es-ES" sz="1000" b="1">
                <a:solidFill>
                  <a:schemeClr val="tx2">
                    <a:lumMod val="75000"/>
                  </a:schemeClr>
                </a:solidFill>
                <a:latin typeface="Myriad Condensed Web" pitchFamily="34" charset="0"/>
              </a:defRPr>
            </a:pPr>
            <a:endParaRPr lang="es-US"/>
          </a:p>
        </c:txPr>
      </c:legendEntry>
      <c:legendEntry>
        <c:idx val="1"/>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legendEntry>
        <c:idx val="2"/>
        <c:txPr>
          <a:bodyPr/>
          <a:lstStyle/>
          <a:p>
            <a:pPr>
              <a:defRPr lang="es-EC" sz="1000" b="1" i="0" u="none" strike="noStrike" kern="1200" baseline="0">
                <a:solidFill>
                  <a:srgbClr val="1F497D">
                    <a:lumMod val="75000"/>
                  </a:srgbClr>
                </a:solidFill>
                <a:latin typeface="Myriad Condensed Web" pitchFamily="34" charset="0"/>
                <a:ea typeface="+mn-ea"/>
                <a:cs typeface="+mn-cs"/>
              </a:defRPr>
            </a:pPr>
            <a:endParaRPr lang="es-US"/>
          </a:p>
        </c:txPr>
      </c:legendEntry>
      <c:overlay val="0"/>
      <c:txPr>
        <a:bodyPr/>
        <a:lstStyle/>
        <a:p>
          <a:pPr>
            <a:defRPr lang="es-ES" sz="800">
              <a:latin typeface="Myriad Condensed Web" pitchFamily="34" charset="0"/>
            </a:defRPr>
          </a:pPr>
          <a:endParaRPr lang="es-US"/>
        </a:p>
      </c:txPr>
    </c:legend>
    <c:plotVisOnly val="1"/>
    <c:dispBlanksAs val="gap"/>
    <c:showDLblsOverMax val="0"/>
  </c:chart>
  <c:spPr>
    <a:ln>
      <a:solidFill>
        <a:schemeClr val="bg1">
          <a:lumMod val="50000"/>
        </a:schemeClr>
      </a:solid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8.jpeg"/><Relationship Id="rId18" Type="http://schemas.openxmlformats.org/officeDocument/2006/relationships/image" Target="../media/image13.jpeg"/><Relationship Id="rId3" Type="http://schemas.openxmlformats.org/officeDocument/2006/relationships/hyperlink" Target="#OPERACION!A1"/><Relationship Id="rId7" Type="http://schemas.openxmlformats.org/officeDocument/2006/relationships/image" Target="../media/image2.jpeg"/><Relationship Id="rId12" Type="http://schemas.openxmlformats.org/officeDocument/2006/relationships/image" Target="../media/image7.jpeg"/><Relationship Id="rId17" Type="http://schemas.openxmlformats.org/officeDocument/2006/relationships/image" Target="../media/image12.jpeg"/><Relationship Id="rId2" Type="http://schemas.openxmlformats.org/officeDocument/2006/relationships/hyperlink" Target="#FINANZAS!A1"/><Relationship Id="rId16" Type="http://schemas.openxmlformats.org/officeDocument/2006/relationships/image" Target="../media/image11.jpeg"/><Relationship Id="rId1" Type="http://schemas.openxmlformats.org/officeDocument/2006/relationships/hyperlink" Target="#CIUDADANIA!A1"/><Relationship Id="rId6" Type="http://schemas.openxmlformats.org/officeDocument/2006/relationships/image" Target="../media/image1.jpeg"/><Relationship Id="rId11" Type="http://schemas.openxmlformats.org/officeDocument/2006/relationships/image" Target="../media/image6.jpeg"/><Relationship Id="rId5" Type="http://schemas.openxmlformats.org/officeDocument/2006/relationships/hyperlink" Target="#INICIO!A1"/><Relationship Id="rId15" Type="http://schemas.openxmlformats.org/officeDocument/2006/relationships/image" Target="../media/image10.png"/><Relationship Id="rId10" Type="http://schemas.openxmlformats.org/officeDocument/2006/relationships/image" Target="../media/image5.jpeg"/><Relationship Id="rId4" Type="http://schemas.openxmlformats.org/officeDocument/2006/relationships/hyperlink" Target="#APRENDIZAJE!A1"/><Relationship Id="rId9" Type="http://schemas.openxmlformats.org/officeDocument/2006/relationships/image" Target="../media/image4.gif"/><Relationship Id="rId14"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2" Type="http://schemas.openxmlformats.org/officeDocument/2006/relationships/hyperlink" Target="#FINANZAS!A1"/><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hyperlink" Target="#FINANZAS!A1"/><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hyperlink" Target="#OPERACION!A1"/><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3" Type="http://schemas.openxmlformats.org/officeDocument/2006/relationships/hyperlink" Target="#OPERACION!A1"/><Relationship Id="rId2" Type="http://schemas.openxmlformats.org/officeDocument/2006/relationships/chart" Target="../charts/chart13.xml"/><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3" Type="http://schemas.openxmlformats.org/officeDocument/2006/relationships/hyperlink" Target="#OPERACION!A1"/><Relationship Id="rId2" Type="http://schemas.openxmlformats.org/officeDocument/2006/relationships/image" Target="../media/image16.emf"/><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CIUDADANIA!A1"/></Relationships>
</file>

<file path=xl/drawings/_rels/drawing19.xml.rels><?xml version="1.0" encoding="UTF-8" standalone="yes"?>
<Relationships xmlns="http://schemas.openxmlformats.org/package/2006/relationships"><Relationship Id="rId2" Type="http://schemas.openxmlformats.org/officeDocument/2006/relationships/hyperlink" Target="#CIUDADANIA!A1"/><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CIUDADANIA!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CIUDADANIA!A1"/></Relationships>
</file>

<file path=xl/drawings/_rels/drawing22.xml.rels><?xml version="1.0" encoding="UTF-8" standalone="yes"?>
<Relationships xmlns="http://schemas.openxmlformats.org/package/2006/relationships"><Relationship Id="rId2" Type="http://schemas.openxmlformats.org/officeDocument/2006/relationships/hyperlink" Target="#FINANZAS!A1"/><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hyperlink" Target="#CIUDADANIA!A1"/><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hyperlink" Target="#FINANZAS!A1"/><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FINANZAS!A1"/></Relationships>
</file>

<file path=xl/drawings/_rels/drawing26.xml.rels><?xml version="1.0" encoding="UTF-8" standalone="yes"?>
<Relationships xmlns="http://schemas.openxmlformats.org/package/2006/relationships"><Relationship Id="rId2" Type="http://schemas.openxmlformats.org/officeDocument/2006/relationships/hyperlink" Target="#CIUDADANIA!A1"/><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hyperlink" Target="#OPERACION!A1"/><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hyperlink" Target="#CIUDADANIA!A1"/><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hyperlink" Target="#CIUDADANIA!A1"/><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OPERACION!A1"/><Relationship Id="rId1" Type="http://schemas.openxmlformats.org/officeDocument/2006/relationships/chart" Target="../charts/chart1.xml"/><Relationship Id="rId4"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hyperlink" Target="#FINANZAS!A1"/><Relationship Id="rId2" Type="http://schemas.openxmlformats.org/officeDocument/2006/relationships/chart" Target="../charts/chart30.xm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hyperlink" Target="#APRENDIZAJE!A1"/></Relationships>
</file>

<file path=xl/drawings/_rels/drawing32.xml.rels><?xml version="1.0" encoding="UTF-8" standalone="yes"?>
<Relationships xmlns="http://schemas.openxmlformats.org/package/2006/relationships"><Relationship Id="rId1" Type="http://schemas.openxmlformats.org/officeDocument/2006/relationships/hyperlink" Target="#CIUDADANIA!A1"/></Relationships>
</file>

<file path=xl/drawings/_rels/drawing33.xml.rels><?xml version="1.0" encoding="UTF-8" standalone="yes"?>
<Relationships xmlns="http://schemas.openxmlformats.org/package/2006/relationships"><Relationship Id="rId8" Type="http://schemas.openxmlformats.org/officeDocument/2006/relationships/hyperlink" Target="#'15_PEF_2015-2016'!&#193;rea_de_impresi&#243;n"/><Relationship Id="rId13" Type="http://schemas.openxmlformats.org/officeDocument/2006/relationships/hyperlink" Target="#'14_CLIENTxTRAB_electric '!&#193;rea_de_impresi&#243;n"/><Relationship Id="rId3" Type="http://schemas.openxmlformats.org/officeDocument/2006/relationships/image" Target="../media/image20.jpeg"/><Relationship Id="rId7" Type="http://schemas.openxmlformats.org/officeDocument/2006/relationships/hyperlink" Target="#'18_ISC '!A1"/><Relationship Id="rId12" Type="http://schemas.openxmlformats.org/officeDocument/2006/relationships/hyperlink" Target="#CIUDADANIA!A1"/><Relationship Id="rId2" Type="http://schemas.openxmlformats.org/officeDocument/2006/relationships/image" Target="../media/image19.jpeg"/><Relationship Id="rId1" Type="http://schemas.openxmlformats.org/officeDocument/2006/relationships/hyperlink" Target="#CONTENIDOS!A1"/><Relationship Id="rId6" Type="http://schemas.openxmlformats.org/officeDocument/2006/relationships/hyperlink" Target="#'12_# MEDIDORES '!A1"/><Relationship Id="rId11" Type="http://schemas.openxmlformats.org/officeDocument/2006/relationships/hyperlink" Target="#'23_CAMBIO_MEDIDORES'!&#193;rea_de_impresi&#243;n"/><Relationship Id="rId5" Type="http://schemas.openxmlformats.org/officeDocument/2006/relationships/hyperlink" Target="#'24_PROYECTO_PEC'!&#193;rea_de_impresi&#243;n"/><Relationship Id="rId10" Type="http://schemas.openxmlformats.org/officeDocument/2006/relationships/hyperlink" Target="#'21_RENOVA'!A1"/><Relationship Id="rId4" Type="http://schemas.openxmlformats.org/officeDocument/2006/relationships/image" Target="../media/image21.jpeg"/><Relationship Id="rId9" Type="http://schemas.openxmlformats.org/officeDocument/2006/relationships/hyperlink" Target="#'13_CLIENTES'!A1"/><Relationship Id="rId14" Type="http://schemas.openxmlformats.org/officeDocument/2006/relationships/hyperlink" Target="#'27_RESPONSABILIDAD SOCIAL.'!&#193;rea_de_impresi&#243;n"/></Relationships>
</file>

<file path=xl/drawings/_rels/drawing34.xml.rels><?xml version="1.0" encoding="UTF-8" standalone="yes"?>
<Relationships xmlns="http://schemas.openxmlformats.org/package/2006/relationships"><Relationship Id="rId8" Type="http://schemas.openxmlformats.org/officeDocument/2006/relationships/hyperlink" Target="#'19 PRESUPUESTO  '!A1"/><Relationship Id="rId13" Type="http://schemas.openxmlformats.org/officeDocument/2006/relationships/hyperlink" Target="#'04_FACT x kWh CONSUMIDA'!A1"/><Relationship Id="rId3" Type="http://schemas.openxmlformats.org/officeDocument/2006/relationships/image" Target="../media/image22.jpeg"/><Relationship Id="rId7" Type="http://schemas.openxmlformats.org/officeDocument/2006/relationships/hyperlink" Target="#'17_Pago horas extras'!A1"/><Relationship Id="rId12" Type="http://schemas.openxmlformats.org/officeDocument/2006/relationships/hyperlink" Target="#'08_CARTERA VENCIDA &gt;30'!A1"/><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hyperlink" Target="#'07_IND_RECAUDACION'!A1"/><Relationship Id="rId11" Type="http://schemas.openxmlformats.org/officeDocument/2006/relationships/hyperlink" Target="#'25_PROYECTOS INVER.'!A1"/><Relationship Id="rId5" Type="http://schemas.openxmlformats.org/officeDocument/2006/relationships/hyperlink" Target="#'06_IND_RECAUDACION'!&#193;rea_de_impresi&#243;n"/><Relationship Id="rId10" Type="http://schemas.openxmlformats.org/officeDocument/2006/relationships/hyperlink" Target="#'20 COMPRAS '!A1"/><Relationship Id="rId4" Type="http://schemas.openxmlformats.org/officeDocument/2006/relationships/hyperlink" Target="#CONTENIDOS!A1"/><Relationship Id="rId9" Type="http://schemas.openxmlformats.org/officeDocument/2006/relationships/hyperlink" Target="#'05_RECAU X kWh CONSUMIDA'!A1"/><Relationship Id="rId14" Type="http://schemas.openxmlformats.org/officeDocument/2006/relationships/hyperlink" Target="#FINANZAS!A1"/></Relationships>
</file>

<file path=xl/drawings/_rels/drawing35.xml.rels><?xml version="1.0" encoding="UTF-8" standalone="yes"?>
<Relationships xmlns="http://schemas.openxmlformats.org/package/2006/relationships"><Relationship Id="rId8" Type="http://schemas.openxmlformats.org/officeDocument/2006/relationships/hyperlink" Target="#'01_MWh GENERACI&#211;N'!&#193;rea_de_impresi&#243;n"/><Relationship Id="rId3" Type="http://schemas.openxmlformats.org/officeDocument/2006/relationships/image" Target="../media/image19.jpeg"/><Relationship Id="rId7" Type="http://schemas.openxmlformats.org/officeDocument/2006/relationships/hyperlink" Target="#'03_MWh CONSUMIDA'!&#193;rea_de_impresi&#243;n"/><Relationship Id="rId12" Type="http://schemas.openxmlformats.org/officeDocument/2006/relationships/hyperlink" Target="#OPERACION!A1"/><Relationship Id="rId2" Type="http://schemas.openxmlformats.org/officeDocument/2006/relationships/hyperlink" Target="#'11_FMIK_2013_cabecera '!&#193;rea_de_impresi&#243;n"/><Relationship Id="rId1" Type="http://schemas.openxmlformats.org/officeDocument/2006/relationships/hyperlink" Target="#'10_TTIK_2013_cabecera '!A1"/><Relationship Id="rId6" Type="http://schemas.openxmlformats.org/officeDocument/2006/relationships/hyperlink" Target="#CONTENIDOS!A1"/><Relationship Id="rId11" Type="http://schemas.openxmlformats.org/officeDocument/2006/relationships/hyperlink" Target="#'09_P&#201;RDIDAS'!A1"/><Relationship Id="rId5" Type="http://schemas.openxmlformats.org/officeDocument/2006/relationships/image" Target="../media/image22.jpeg"/><Relationship Id="rId10" Type="http://schemas.openxmlformats.org/officeDocument/2006/relationships/hyperlink" Target="#'22_PROYECTOS RENOVABLE'!A1"/><Relationship Id="rId4" Type="http://schemas.openxmlformats.org/officeDocument/2006/relationships/image" Target="../media/image20.jpeg"/><Relationship Id="rId9" Type="http://schemas.openxmlformats.org/officeDocument/2006/relationships/hyperlink" Target="#'02_CONSUMO DIESEL'!&#193;rea_de_impresi&#243;n"/></Relationships>
</file>

<file path=xl/drawings/_rels/drawing3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hyperlink" Target="#'26_CAPACITACI&#211;N.'!A1"/><Relationship Id="rId6" Type="http://schemas.openxmlformats.org/officeDocument/2006/relationships/hyperlink" Target="#APRENDIZAJE!A1"/><Relationship Id="rId5" Type="http://schemas.openxmlformats.org/officeDocument/2006/relationships/hyperlink" Target="#CONTENIDOS!A1"/><Relationship Id="rId4"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2" Type="http://schemas.openxmlformats.org/officeDocument/2006/relationships/hyperlink" Target="#OPERACION!A1"/><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hyperlink" Target="#OPERACION!A1"/><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hyperlink" Target="#OPERACION!A1"/><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hyperlink" Target="#FINANZAS!A1"/><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hyperlink" Target="#FINANZAS!A1"/><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hyperlink" Target="#FINANZAS!A1"/><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2485</xdr:colOff>
      <xdr:row>1</xdr:row>
      <xdr:rowOff>0</xdr:rowOff>
    </xdr:from>
    <xdr:to>
      <xdr:col>5</xdr:col>
      <xdr:colOff>666750</xdr:colOff>
      <xdr:row>43</xdr:row>
      <xdr:rowOff>9525</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19050" y="124239"/>
          <a:ext cx="3322983" cy="5227569"/>
        </a:xfrm>
        <a:prstGeom prst="rect">
          <a:avLst/>
        </a:prstGeom>
        <a:solidFill>
          <a:schemeClr val="bg1"/>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s-EC" sz="1100"/>
        </a:p>
      </xdr:txBody>
    </xdr:sp>
    <xdr:clientData/>
  </xdr:twoCellAnchor>
  <xdr:twoCellAnchor>
    <xdr:from>
      <xdr:col>5</xdr:col>
      <xdr:colOff>676275</xdr:colOff>
      <xdr:row>1</xdr:row>
      <xdr:rowOff>0</xdr:rowOff>
    </xdr:from>
    <xdr:to>
      <xdr:col>10</xdr:col>
      <xdr:colOff>676275</xdr:colOff>
      <xdr:row>43</xdr:row>
      <xdr:rowOff>9525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4105275" y="123825"/>
          <a:ext cx="3429000" cy="5210175"/>
        </a:xfrm>
        <a:prstGeom prst="rect">
          <a:avLst/>
        </a:prstGeom>
        <a:solidFill>
          <a:sysClr val="window" lastClr="FFFFFF"/>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es-EC" sz="1100"/>
        </a:p>
      </xdr:txBody>
    </xdr:sp>
    <xdr:clientData/>
  </xdr:twoCellAnchor>
  <xdr:oneCellAnchor>
    <xdr:from>
      <xdr:col>1</xdr:col>
      <xdr:colOff>104775</xdr:colOff>
      <xdr:row>6</xdr:row>
      <xdr:rowOff>116973</xdr:rowOff>
    </xdr:from>
    <xdr:ext cx="3257549" cy="635502"/>
    <xdr:sp macro="" textlink="">
      <xdr:nvSpPr>
        <xdr:cNvPr id="4" name="3 Rectángulo">
          <a:extLst>
            <a:ext uri="{FF2B5EF4-FFF2-40B4-BE49-F238E27FC236}">
              <a16:creationId xmlns:a16="http://schemas.microsoft.com/office/drawing/2014/main" id="{00000000-0008-0000-0000-000004000000}"/>
            </a:ext>
          </a:extLst>
        </xdr:cNvPr>
        <xdr:cNvSpPr/>
      </xdr:nvSpPr>
      <xdr:spPr>
        <a:xfrm>
          <a:off x="790575" y="859923"/>
          <a:ext cx="3257549" cy="635502"/>
        </a:xfrm>
        <a:prstGeom prst="rect">
          <a:avLst/>
        </a:prstGeom>
        <a:noFill/>
      </xdr:spPr>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ELECGALAPAGOS</a:t>
          </a:r>
        </a:p>
      </xdr:txBody>
    </xdr:sp>
    <xdr:clientData/>
  </xdr:oneCellAnchor>
  <xdr:twoCellAnchor>
    <xdr:from>
      <xdr:col>6</xdr:col>
      <xdr:colOff>76200</xdr:colOff>
      <xdr:row>8</xdr:row>
      <xdr:rowOff>41773</xdr:rowOff>
    </xdr:from>
    <xdr:to>
      <xdr:col>10</xdr:col>
      <xdr:colOff>571500</xdr:colOff>
      <xdr:row>16</xdr:row>
      <xdr:rowOff>28575</xdr:rowOff>
    </xdr:to>
    <xdr:sp macro="" textlink="">
      <xdr:nvSpPr>
        <xdr:cNvPr id="5" name="5 Rectángulo">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4648200" y="1032373"/>
          <a:ext cx="3543300" cy="97740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    CIUDADANIA</a:t>
          </a:r>
        </a:p>
      </xdr:txBody>
    </xdr:sp>
    <xdr:clientData/>
  </xdr:twoCellAnchor>
  <xdr:twoCellAnchor>
    <xdr:from>
      <xdr:col>6</xdr:col>
      <xdr:colOff>74735</xdr:colOff>
      <xdr:row>4</xdr:row>
      <xdr:rowOff>106983</xdr:rowOff>
    </xdr:from>
    <xdr:to>
      <xdr:col>10</xdr:col>
      <xdr:colOff>570035</xdr:colOff>
      <xdr:row>7</xdr:row>
      <xdr:rowOff>11732</xdr:rowOff>
    </xdr:to>
    <xdr:sp macro="" textlink="">
      <xdr:nvSpPr>
        <xdr:cNvPr id="7" name="15 Rectángulo">
          <a:extLst>
            <a:ext uri="{FF2B5EF4-FFF2-40B4-BE49-F238E27FC236}">
              <a16:creationId xmlns:a16="http://schemas.microsoft.com/office/drawing/2014/main" id="{00000000-0008-0000-0000-000007000000}"/>
            </a:ext>
          </a:extLst>
        </xdr:cNvPr>
        <xdr:cNvSpPr/>
      </xdr:nvSpPr>
      <xdr:spPr>
        <a:xfrm>
          <a:off x="4646735" y="602283"/>
          <a:ext cx="3543300" cy="276224"/>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s-EC" sz="1100"/>
            <a:t>CONTENIDO</a:t>
          </a:r>
        </a:p>
      </xdr:txBody>
    </xdr:sp>
    <xdr:clientData/>
  </xdr:twoCellAnchor>
  <xdr:twoCellAnchor>
    <xdr:from>
      <xdr:col>6</xdr:col>
      <xdr:colOff>76200</xdr:colOff>
      <xdr:row>16</xdr:row>
      <xdr:rowOff>79873</xdr:rowOff>
    </xdr:from>
    <xdr:to>
      <xdr:col>10</xdr:col>
      <xdr:colOff>571500</xdr:colOff>
      <xdr:row>24</xdr:row>
      <xdr:rowOff>66675</xdr:rowOff>
    </xdr:to>
    <xdr:sp macro="" textlink="">
      <xdr:nvSpPr>
        <xdr:cNvPr id="15" name="27 Rectángulo">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648200" y="2061073"/>
          <a:ext cx="3543300" cy="97740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FINANZAS</a:t>
          </a:r>
        </a:p>
      </xdr:txBody>
    </xdr:sp>
    <xdr:clientData/>
  </xdr:twoCellAnchor>
  <xdr:twoCellAnchor>
    <xdr:from>
      <xdr:col>6</xdr:col>
      <xdr:colOff>85725</xdr:colOff>
      <xdr:row>25</xdr:row>
      <xdr:rowOff>13198</xdr:rowOff>
    </xdr:from>
    <xdr:to>
      <xdr:col>10</xdr:col>
      <xdr:colOff>581025</xdr:colOff>
      <xdr:row>33</xdr:row>
      <xdr:rowOff>0</xdr:rowOff>
    </xdr:to>
    <xdr:sp macro="" textlink="">
      <xdr:nvSpPr>
        <xdr:cNvPr id="16" name="29 Rectángulo">
          <a:hlinkClick xmlns:r="http://schemas.openxmlformats.org/officeDocument/2006/relationships" r:id="rId3"/>
          <a:extLst>
            <a:ext uri="{FF2B5EF4-FFF2-40B4-BE49-F238E27FC236}">
              <a16:creationId xmlns:a16="http://schemas.microsoft.com/office/drawing/2014/main" id="{00000000-0008-0000-0000-000010000000}"/>
            </a:ext>
          </a:extLst>
        </xdr:cNvPr>
        <xdr:cNvSpPr/>
      </xdr:nvSpPr>
      <xdr:spPr>
        <a:xfrm>
          <a:off x="4657725" y="3108823"/>
          <a:ext cx="3543300" cy="97740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     OPERACIONES</a:t>
          </a:r>
        </a:p>
      </xdr:txBody>
    </xdr:sp>
    <xdr:clientData/>
  </xdr:twoCellAnchor>
  <xdr:twoCellAnchor>
    <xdr:from>
      <xdr:col>6</xdr:col>
      <xdr:colOff>95250</xdr:colOff>
      <xdr:row>33</xdr:row>
      <xdr:rowOff>57150</xdr:rowOff>
    </xdr:from>
    <xdr:to>
      <xdr:col>10</xdr:col>
      <xdr:colOff>590550</xdr:colOff>
      <xdr:row>41</xdr:row>
      <xdr:rowOff>43952</xdr:rowOff>
    </xdr:to>
    <xdr:sp macro="" textlink="">
      <xdr:nvSpPr>
        <xdr:cNvPr id="17" name="33 Rectángulo">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4667250" y="4143375"/>
          <a:ext cx="3543300" cy="97740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      APRENDIZAJE</a:t>
          </a:r>
        </a:p>
      </xdr:txBody>
    </xdr:sp>
    <xdr:clientData/>
  </xdr:twoCellAnchor>
  <xdr:twoCellAnchor>
    <xdr:from>
      <xdr:col>10</xdr:col>
      <xdr:colOff>228600</xdr:colOff>
      <xdr:row>1</xdr:row>
      <xdr:rowOff>85725</xdr:rowOff>
    </xdr:from>
    <xdr:to>
      <xdr:col>10</xdr:col>
      <xdr:colOff>548309</xdr:colOff>
      <xdr:row>4</xdr:row>
      <xdr:rowOff>4970</xdr:rowOff>
    </xdr:to>
    <xdr:sp macro="" textlink="">
      <xdr:nvSpPr>
        <xdr:cNvPr id="21" name="AutoShape 13">
          <a:hlinkClick xmlns:r="http://schemas.openxmlformats.org/officeDocument/2006/relationships" r:id="rId5"/>
          <a:extLst>
            <a:ext uri="{FF2B5EF4-FFF2-40B4-BE49-F238E27FC236}">
              <a16:creationId xmlns:a16="http://schemas.microsoft.com/office/drawing/2014/main" id="{00000000-0008-0000-0000-000015000000}"/>
            </a:ext>
          </a:extLst>
        </xdr:cNvPr>
        <xdr:cNvSpPr>
          <a:spLocks noChangeArrowheads="1"/>
        </xdr:cNvSpPr>
      </xdr:nvSpPr>
      <xdr:spPr bwMode="auto">
        <a:xfrm>
          <a:off x="7848600" y="209550"/>
          <a:ext cx="319709" cy="290720"/>
        </a:xfrm>
        <a:prstGeom prst="actionButtonHome">
          <a:avLst/>
        </a:prstGeom>
        <a:ln>
          <a:headEnd/>
          <a:tailEnd/>
        </a:ln>
      </xdr:spPr>
      <xdr:style>
        <a:lnRef idx="1">
          <a:schemeClr val="dk1"/>
        </a:lnRef>
        <a:fillRef idx="2">
          <a:schemeClr val="dk1"/>
        </a:fillRef>
        <a:effectRef idx="1">
          <a:schemeClr val="dk1"/>
        </a:effectRef>
        <a:fontRef idx="minor">
          <a:schemeClr val="dk1"/>
        </a:fontRef>
      </xdr:style>
    </xdr:sp>
    <xdr:clientData/>
  </xdr:twoCellAnchor>
  <xdr:oneCellAnchor>
    <xdr:from>
      <xdr:col>2</xdr:col>
      <xdr:colOff>251079</xdr:colOff>
      <xdr:row>36</xdr:row>
      <xdr:rowOff>47625</xdr:rowOff>
    </xdr:from>
    <xdr:ext cx="2368918" cy="342786"/>
    <xdr:sp macro="" textlink="">
      <xdr:nvSpPr>
        <xdr:cNvPr id="22" name="22 Rectángulo">
          <a:extLst>
            <a:ext uri="{FF2B5EF4-FFF2-40B4-BE49-F238E27FC236}">
              <a16:creationId xmlns:a16="http://schemas.microsoft.com/office/drawing/2014/main" id="{00000000-0008-0000-0000-000016000000}"/>
            </a:ext>
          </a:extLst>
        </xdr:cNvPr>
        <xdr:cNvSpPr/>
      </xdr:nvSpPr>
      <xdr:spPr>
        <a:xfrm>
          <a:off x="1622679" y="4505325"/>
          <a:ext cx="2368918" cy="342786"/>
        </a:xfrm>
        <a:prstGeom prst="rect">
          <a:avLst/>
        </a:prstGeom>
        <a:noFill/>
      </xdr:spPr>
      <xdr:txBody>
        <a:bodyPr wrap="none" lIns="91440" tIns="45720" rIns="91440" bIns="45720">
          <a:spAutoFit/>
        </a:bodyPr>
        <a:lstStyle/>
        <a:p>
          <a:pPr algn="ctr"/>
          <a:r>
            <a:rPr lang="es-ES"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David" panose="020E0502060401010101" pitchFamily="34" charset="-79"/>
              <a:cs typeface="David" panose="020E0502060401010101" pitchFamily="34" charset="-79"/>
            </a:rPr>
            <a:t>Jefatura de Planificación</a:t>
          </a:r>
        </a:p>
      </xdr:txBody>
    </xdr:sp>
    <xdr:clientData/>
  </xdr:oneCellAnchor>
  <xdr:twoCellAnchor editAs="oneCell">
    <xdr:from>
      <xdr:col>1</xdr:col>
      <xdr:colOff>38099</xdr:colOff>
      <xdr:row>1</xdr:row>
      <xdr:rowOff>47625</xdr:rowOff>
    </xdr:from>
    <xdr:to>
      <xdr:col>2</xdr:col>
      <xdr:colOff>19050</xdr:colOff>
      <xdr:row>4</xdr:row>
      <xdr:rowOff>104775</xdr:rowOff>
    </xdr:to>
    <xdr:pic>
      <xdr:nvPicPr>
        <xdr:cNvPr id="24" name="Imagen 23" descr="C:\Users\SAT\Pictures\EEG.jpg">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899" y="171450"/>
          <a:ext cx="666751" cy="42862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oneCellAnchor>
    <xdr:from>
      <xdr:col>1</xdr:col>
      <xdr:colOff>85725</xdr:colOff>
      <xdr:row>28</xdr:row>
      <xdr:rowOff>19051</xdr:rowOff>
    </xdr:from>
    <xdr:ext cx="3016704" cy="389164"/>
    <xdr:sp macro="" textlink="">
      <xdr:nvSpPr>
        <xdr:cNvPr id="27" name="3 Rectángulo">
          <a:extLst>
            <a:ext uri="{FF2B5EF4-FFF2-40B4-BE49-F238E27FC236}">
              <a16:creationId xmlns:a16="http://schemas.microsoft.com/office/drawing/2014/main" id="{00000000-0008-0000-0000-00001B000000}"/>
            </a:ext>
          </a:extLst>
        </xdr:cNvPr>
        <xdr:cNvSpPr/>
      </xdr:nvSpPr>
      <xdr:spPr>
        <a:xfrm>
          <a:off x="99332" y="3448051"/>
          <a:ext cx="3016704" cy="389164"/>
        </a:xfrm>
        <a:prstGeom prst="rect">
          <a:avLst/>
        </a:prstGeom>
      </xdr:spPr>
      <xdr:style>
        <a:lnRef idx="2">
          <a:schemeClr val="accent1"/>
        </a:lnRef>
        <a:fillRef idx="1">
          <a:schemeClr val="lt1"/>
        </a:fillRef>
        <a:effectRef idx="0">
          <a:schemeClr val="accent1"/>
        </a:effectRef>
        <a:fontRef idx="minor">
          <a:schemeClr val="dk1"/>
        </a:fontRef>
      </xdr:style>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INDICADORES DE GESTIÓN</a:t>
          </a:r>
        </a:p>
      </xdr:txBody>
    </xdr:sp>
    <xdr:clientData/>
  </xdr:oneCellAnchor>
  <xdr:twoCellAnchor editAs="oneCell">
    <xdr:from>
      <xdr:col>6</xdr:col>
      <xdr:colOff>638176</xdr:colOff>
      <xdr:row>34</xdr:row>
      <xdr:rowOff>81675</xdr:rowOff>
    </xdr:from>
    <xdr:to>
      <xdr:col>7</xdr:col>
      <xdr:colOff>257175</xdr:colOff>
      <xdr:row>37</xdr:row>
      <xdr:rowOff>95250</xdr:rowOff>
    </xdr:to>
    <xdr:pic>
      <xdr:nvPicPr>
        <xdr:cNvPr id="30" name="Imagen 29" descr="http://img.freepik.com/foto-gratis/viajes-4_2996209.jpg?size=338&amp;ext=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52976" y="4291725"/>
          <a:ext cx="304799" cy="38505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17</xdr:row>
      <xdr:rowOff>19050</xdr:rowOff>
    </xdr:from>
    <xdr:to>
      <xdr:col>7</xdr:col>
      <xdr:colOff>352425</xdr:colOff>
      <xdr:row>23</xdr:row>
      <xdr:rowOff>114300</xdr:rowOff>
    </xdr:to>
    <xdr:pic>
      <xdr:nvPicPr>
        <xdr:cNvPr id="32" name="Imagen 31" descr="http://thumbs.dreamstime.com/z/concepto-gr%C3%A1fico-del-analytics-de-las-finanzas-isom%C3%A9tricas-planas-del-negocio-d-47158055.jpg">
          <a:extLst>
            <a:ext uri="{FF2B5EF4-FFF2-40B4-BE49-F238E27FC236}">
              <a16:creationId xmlns:a16="http://schemas.microsoft.com/office/drawing/2014/main" id="{00000000-0008-0000-0000-000020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8251"/>
        <a:stretch/>
      </xdr:blipFill>
      <xdr:spPr bwMode="auto">
        <a:xfrm>
          <a:off x="4229100" y="2124075"/>
          <a:ext cx="923925" cy="83820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104775</xdr:colOff>
      <xdr:row>26</xdr:row>
      <xdr:rowOff>9525</xdr:rowOff>
    </xdr:from>
    <xdr:to>
      <xdr:col>7</xdr:col>
      <xdr:colOff>228600</xdr:colOff>
      <xdr:row>31</xdr:row>
      <xdr:rowOff>57150</xdr:rowOff>
    </xdr:to>
    <xdr:pic>
      <xdr:nvPicPr>
        <xdr:cNvPr id="34" name="Imagen 33" descr="http://www.bvsde.paho.org/eswww/fulltext/gtz/manmire/mrifig18.gif">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19575" y="3228975"/>
          <a:ext cx="809625" cy="66675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238124</xdr:colOff>
      <xdr:row>12</xdr:row>
      <xdr:rowOff>57150</xdr:rowOff>
    </xdr:from>
    <xdr:to>
      <xdr:col>5</xdr:col>
      <xdr:colOff>466725</xdr:colOff>
      <xdr:row>27</xdr:row>
      <xdr:rowOff>28575</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253999" y="1581150"/>
          <a:ext cx="2879726" cy="1876425"/>
          <a:chOff x="0" y="0"/>
          <a:chExt cx="3992135" cy="2362840"/>
        </a:xfrm>
      </xdr:grpSpPr>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11625" b="15365"/>
          <a:stretch/>
        </xdr:blipFill>
        <xdr:spPr>
          <a:xfrm>
            <a:off x="1609725" y="0"/>
            <a:ext cx="1609090" cy="1179195"/>
          </a:xfrm>
          <a:prstGeom prst="rect">
            <a:avLst/>
          </a:prstGeom>
        </xdr:spPr>
      </xdr:pic>
      <xdr:grpSp>
        <xdr:nvGrpSpPr>
          <xdr:cNvPr id="40" name="Grupo 39">
            <a:extLst>
              <a:ext uri="{FF2B5EF4-FFF2-40B4-BE49-F238E27FC236}">
                <a16:creationId xmlns:a16="http://schemas.microsoft.com/office/drawing/2014/main" id="{00000000-0008-0000-0000-000028000000}"/>
              </a:ext>
            </a:extLst>
          </xdr:cNvPr>
          <xdr:cNvGrpSpPr/>
        </xdr:nvGrpSpPr>
        <xdr:grpSpPr>
          <a:xfrm>
            <a:off x="0" y="0"/>
            <a:ext cx="3992135" cy="2362840"/>
            <a:chOff x="966242" y="-1954568"/>
            <a:chExt cx="6978734" cy="4033560"/>
          </a:xfrm>
        </xdr:grpSpPr>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90684" y="-1954568"/>
              <a:ext cx="1354292" cy="2012982"/>
            </a:xfrm>
            <a:prstGeom prst="rect">
              <a:avLst/>
            </a:prstGeom>
          </xdr:spPr>
        </xdr:pic>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80368" y="58414"/>
              <a:ext cx="1403372" cy="2020578"/>
            </a:xfrm>
            <a:prstGeom prst="rect">
              <a:avLst/>
            </a:prstGeom>
          </xdr:spPr>
        </xdr:pic>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30301" y="58414"/>
              <a:ext cx="2693075" cy="2020077"/>
            </a:xfrm>
            <a:prstGeom prst="rect">
              <a:avLst/>
            </a:prstGeom>
          </xdr:spPr>
        </xdr:pic>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6242" y="58414"/>
              <a:ext cx="2811582" cy="2020077"/>
            </a:xfrm>
            <a:prstGeom prst="rect">
              <a:avLst/>
            </a:prstGeom>
          </xdr:spPr>
        </xdr:pic>
      </xdr:grpSp>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0"/>
            <a:ext cx="1609090" cy="1179195"/>
          </a:xfrm>
          <a:prstGeom prst="rect">
            <a:avLst/>
          </a:prstGeom>
          <a:noFill/>
        </xdr:spPr>
      </xdr:pic>
    </xdr:grpSp>
    <xdr:clientData/>
  </xdr:twoCellAnchor>
  <xdr:twoCellAnchor editAs="oneCell">
    <xdr:from>
      <xdr:col>4</xdr:col>
      <xdr:colOff>638175</xdr:colOff>
      <xdr:row>1</xdr:row>
      <xdr:rowOff>57150</xdr:rowOff>
    </xdr:from>
    <xdr:to>
      <xdr:col>5</xdr:col>
      <xdr:colOff>638175</xdr:colOff>
      <xdr:row>5</xdr:row>
      <xdr:rowOff>30257</xdr:rowOff>
    </xdr:to>
    <xdr:pic>
      <xdr:nvPicPr>
        <xdr:cNvPr id="31" name="Imagen 30" descr="http://www.enerpetrol.com/es/images/content/meer.jpg">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381375" y="180975"/>
          <a:ext cx="685800" cy="468407"/>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145406</xdr:colOff>
      <xdr:row>35</xdr:row>
      <xdr:rowOff>85724</xdr:rowOff>
    </xdr:from>
    <xdr:to>
      <xdr:col>7</xdr:col>
      <xdr:colOff>188309</xdr:colOff>
      <xdr:row>40</xdr:row>
      <xdr:rowOff>9524</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260206" y="4419599"/>
          <a:ext cx="728703" cy="542925"/>
        </a:xfrm>
        <a:prstGeom prst="rect">
          <a:avLst/>
        </a:prstGeom>
        <a:ln>
          <a:noFill/>
        </a:ln>
        <a:effectLst>
          <a:softEdge rad="112500"/>
        </a:effectLst>
      </xdr:spPr>
    </xdr:pic>
    <xdr:clientData/>
  </xdr:twoCellAnchor>
  <xdr:twoCellAnchor editAs="oneCell">
    <xdr:from>
      <xdr:col>6</xdr:col>
      <xdr:colOff>131120</xdr:colOff>
      <xdr:row>10</xdr:row>
      <xdr:rowOff>28575</xdr:rowOff>
    </xdr:from>
    <xdr:to>
      <xdr:col>7</xdr:col>
      <xdr:colOff>229497</xdr:colOff>
      <xdr:row>14</xdr:row>
      <xdr:rowOff>66674</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245920" y="1266825"/>
          <a:ext cx="784177" cy="533399"/>
        </a:xfrm>
        <a:prstGeom prst="rect">
          <a:avLst/>
        </a:prstGeom>
        <a:ln>
          <a:noFill/>
        </a:ln>
        <a:effectLst>
          <a:softEdge rad="112500"/>
        </a:effectLst>
      </xdr:spPr>
    </xdr:pic>
    <xdr:clientData/>
  </xdr:twoCellAnchor>
</xdr:wsDr>
</file>

<file path=xl/drawings/drawing10.xml><?xml version="1.0" encoding="utf-8"?>
<c:userShapes xmlns:c="http://schemas.openxmlformats.org/drawingml/2006/chart">
  <cdr:relSizeAnchor xmlns:cdr="http://schemas.openxmlformats.org/drawingml/2006/chartDrawing">
    <cdr:from>
      <cdr:x>0.88124</cdr:x>
      <cdr:y>0.01141</cdr:y>
    </cdr:from>
    <cdr:to>
      <cdr:x>0.97487</cdr:x>
      <cdr:y>0.05882</cdr:y>
    </cdr:to>
    <cdr:sp macro="" textlink="">
      <cdr:nvSpPr>
        <cdr:cNvPr id="3" name="2 CuadroTexto"/>
        <cdr:cNvSpPr txBox="1"/>
      </cdr:nvSpPr>
      <cdr:spPr>
        <a:xfrm xmlns:a="http://schemas.openxmlformats.org/drawingml/2006/main">
          <a:off x="4876807" y="36951"/>
          <a:ext cx="518151" cy="153538"/>
        </a:xfrm>
        <a:prstGeom xmlns:a="http://schemas.openxmlformats.org/drawingml/2006/main" prst="rect">
          <a:avLst/>
        </a:prstGeom>
        <a:noFill xmlns:a="http://schemas.openxmlformats.org/drawingml/2006/main"/>
        <a:ln xmlns:a="http://schemas.openxmlformats.org/drawingml/2006/main">
          <a:solidFill>
            <a:schemeClr val="bg1"/>
          </a:solidFill>
        </a:ln>
      </cdr:spPr>
      <cdr:txBody>
        <a:bodyPr xmlns:a="http://schemas.openxmlformats.org/drawingml/2006/main" wrap="square" rtlCol="0"/>
        <a:lstStyle xmlns:a="http://schemas.openxmlformats.org/drawingml/2006/main"/>
        <a:p xmlns:a="http://schemas.openxmlformats.org/drawingml/2006/main">
          <a:pPr algn="ctr"/>
          <a:r>
            <a:rPr lang="es-ES" sz="800" b="1">
              <a:solidFill>
                <a:sysClr val="windowText" lastClr="000000"/>
              </a:solidFill>
              <a:latin typeface="Myriad Condensed Web" pitchFamily="34" charset="0"/>
            </a:rPr>
            <a:t>US$</a:t>
          </a:r>
        </a:p>
      </cdr:txBody>
    </cdr:sp>
  </cdr:relSizeAnchor>
  <cdr:relSizeAnchor xmlns:cdr="http://schemas.openxmlformats.org/drawingml/2006/chartDrawing">
    <cdr:from>
      <cdr:x>0.00832</cdr:x>
      <cdr:y>0.01647</cdr:y>
    </cdr:from>
    <cdr:to>
      <cdr:x>0.10847</cdr:x>
      <cdr:y>0.06136</cdr:y>
    </cdr:to>
    <cdr:sp macro="" textlink="">
      <cdr:nvSpPr>
        <cdr:cNvPr id="4" name="1 CuadroTexto"/>
        <cdr:cNvSpPr txBox="1"/>
      </cdr:nvSpPr>
      <cdr:spPr>
        <a:xfrm xmlns:a="http://schemas.openxmlformats.org/drawingml/2006/main">
          <a:off x="46086" y="53097"/>
          <a:ext cx="554722" cy="144729"/>
        </a:xfrm>
        <a:prstGeom xmlns:a="http://schemas.openxmlformats.org/drawingml/2006/main" prst="rect">
          <a:avLst/>
        </a:prstGeom>
        <a:noFill xmlns:a="http://schemas.openxmlformats.org/drawingml/2006/main"/>
        <a:ln xmlns:a="http://schemas.openxmlformats.org/drawingml/2006/main">
          <a:solidFill>
            <a:schemeClr val="bg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800" b="1">
              <a:solidFill>
                <a:sysClr val="windowText" lastClr="000000"/>
              </a:solidFill>
              <a:latin typeface="Myriad Condensed Web" pitchFamily="34" charset="0"/>
            </a:rPr>
            <a:t>INDICE</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2</xdr:colOff>
      <xdr:row>107</xdr:row>
      <xdr:rowOff>38100</xdr:rowOff>
    </xdr:from>
    <xdr:to>
      <xdr:col>6</xdr:col>
      <xdr:colOff>730251</xdr:colOff>
      <xdr:row>125</xdr:row>
      <xdr:rowOff>112060</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268942</xdr:colOff>
      <xdr:row>0</xdr:row>
      <xdr:rowOff>100853</xdr:rowOff>
    </xdr:from>
    <xdr:to>
      <xdr:col>7</xdr:col>
      <xdr:colOff>627530</xdr:colOff>
      <xdr:row>1</xdr:row>
      <xdr:rowOff>22412</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0900-000003000000}"/>
            </a:ext>
          </a:extLst>
        </xdr:cNvPr>
        <xdr:cNvGrpSpPr/>
      </xdr:nvGrpSpPr>
      <xdr:grpSpPr>
        <a:xfrm>
          <a:off x="6219266" y="100853"/>
          <a:ext cx="358588" cy="302559"/>
          <a:chOff x="9791700" y="781050"/>
          <a:chExt cx="390525" cy="381000"/>
        </a:xfrm>
      </xdr:grpSpPr>
      <xdr:sp macro="" textlink="">
        <xdr:nvSpPr>
          <xdr:cNvPr id="4" name="7 Elipse">
            <a:extLst>
              <a:ext uri="{FF2B5EF4-FFF2-40B4-BE49-F238E27FC236}">
                <a16:creationId xmlns:a16="http://schemas.microsoft.com/office/drawing/2014/main" id="{00000000-0008-0000-09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09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0.88124</cdr:x>
      <cdr:y>0.01141</cdr:y>
    </cdr:from>
    <cdr:to>
      <cdr:x>0.97487</cdr:x>
      <cdr:y>0.05882</cdr:y>
    </cdr:to>
    <cdr:sp macro="" textlink="">
      <cdr:nvSpPr>
        <cdr:cNvPr id="3" name="2 CuadroTexto"/>
        <cdr:cNvSpPr txBox="1"/>
      </cdr:nvSpPr>
      <cdr:spPr>
        <a:xfrm xmlns:a="http://schemas.openxmlformats.org/drawingml/2006/main">
          <a:off x="4876807" y="36951"/>
          <a:ext cx="518151" cy="153538"/>
        </a:xfrm>
        <a:prstGeom xmlns:a="http://schemas.openxmlformats.org/drawingml/2006/main" prst="rect">
          <a:avLst/>
        </a:prstGeom>
        <a:noFill xmlns:a="http://schemas.openxmlformats.org/drawingml/2006/main"/>
        <a:ln xmlns:a="http://schemas.openxmlformats.org/drawingml/2006/main">
          <a:solidFill>
            <a:schemeClr val="bg1"/>
          </a:solidFill>
        </a:ln>
      </cdr:spPr>
      <cdr:txBody>
        <a:bodyPr xmlns:a="http://schemas.openxmlformats.org/drawingml/2006/main" wrap="square" rtlCol="0"/>
        <a:lstStyle xmlns:a="http://schemas.openxmlformats.org/drawingml/2006/main"/>
        <a:p xmlns:a="http://schemas.openxmlformats.org/drawingml/2006/main">
          <a:pPr algn="ctr"/>
          <a:r>
            <a:rPr lang="es-ES" sz="800" b="1">
              <a:solidFill>
                <a:sysClr val="windowText" lastClr="000000"/>
              </a:solidFill>
              <a:latin typeface="Myriad Condensed Web" pitchFamily="34" charset="0"/>
            </a:rPr>
            <a:t>US$</a:t>
          </a:r>
        </a:p>
      </cdr:txBody>
    </cdr:sp>
  </cdr:relSizeAnchor>
  <cdr:relSizeAnchor xmlns:cdr="http://schemas.openxmlformats.org/drawingml/2006/chartDrawing">
    <cdr:from>
      <cdr:x>0.00832</cdr:x>
      <cdr:y>0.01647</cdr:y>
    </cdr:from>
    <cdr:to>
      <cdr:x>0.10499</cdr:x>
      <cdr:y>0.06563</cdr:y>
    </cdr:to>
    <cdr:sp macro="" textlink="">
      <cdr:nvSpPr>
        <cdr:cNvPr id="4" name="1 CuadroTexto"/>
        <cdr:cNvSpPr txBox="1"/>
      </cdr:nvSpPr>
      <cdr:spPr>
        <a:xfrm xmlns:a="http://schemas.openxmlformats.org/drawingml/2006/main">
          <a:off x="46043" y="50201"/>
          <a:ext cx="534982" cy="149824"/>
        </a:xfrm>
        <a:prstGeom xmlns:a="http://schemas.openxmlformats.org/drawingml/2006/main" prst="rect">
          <a:avLst/>
        </a:prstGeom>
        <a:noFill xmlns:a="http://schemas.openxmlformats.org/drawingml/2006/main"/>
        <a:ln xmlns:a="http://schemas.openxmlformats.org/drawingml/2006/main">
          <a:solidFill>
            <a:schemeClr val="bg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800" b="1">
              <a:solidFill>
                <a:sysClr val="windowText" lastClr="000000"/>
              </a:solidFill>
              <a:latin typeface="Myriad Condensed Web" pitchFamily="34" charset="0"/>
            </a:rPr>
            <a:t>INDICE</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15875</xdr:colOff>
      <xdr:row>84</xdr:row>
      <xdr:rowOff>133350</xdr:rowOff>
    </xdr:from>
    <xdr:to>
      <xdr:col>6</xdr:col>
      <xdr:colOff>698500</xdr:colOff>
      <xdr:row>102</xdr:row>
      <xdr:rowOff>123825</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272144</xdr:colOff>
      <xdr:row>0</xdr:row>
      <xdr:rowOff>149678</xdr:rowOff>
    </xdr:from>
    <xdr:to>
      <xdr:col>7</xdr:col>
      <xdr:colOff>653143</xdr:colOff>
      <xdr:row>1</xdr:row>
      <xdr:rowOff>108857</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0A00-000003000000}"/>
            </a:ext>
          </a:extLst>
        </xdr:cNvPr>
        <xdr:cNvGrpSpPr/>
      </xdr:nvGrpSpPr>
      <xdr:grpSpPr>
        <a:xfrm>
          <a:off x="5815694" y="149678"/>
          <a:ext cx="380999" cy="340179"/>
          <a:chOff x="9791700" y="781050"/>
          <a:chExt cx="390525" cy="381000"/>
        </a:xfrm>
      </xdr:grpSpPr>
      <xdr:sp macro="" textlink="">
        <xdr:nvSpPr>
          <xdr:cNvPr id="4" name="7 Elipse">
            <a:extLst>
              <a:ext uri="{FF2B5EF4-FFF2-40B4-BE49-F238E27FC236}">
                <a16:creationId xmlns:a16="http://schemas.microsoft.com/office/drawing/2014/main" id="{00000000-0008-0000-0A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0A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0.04052</cdr:x>
      <cdr:y>0.01167</cdr:y>
    </cdr:from>
    <cdr:to>
      <cdr:x>0.08583</cdr:x>
      <cdr:y>0.05991</cdr:y>
    </cdr:to>
    <cdr:sp macro="" textlink="">
      <cdr:nvSpPr>
        <cdr:cNvPr id="4" name="1 CuadroTexto"/>
        <cdr:cNvSpPr txBox="1"/>
      </cdr:nvSpPr>
      <cdr:spPr>
        <a:xfrm xmlns:a="http://schemas.openxmlformats.org/drawingml/2006/main">
          <a:off x="255813" y="38099"/>
          <a:ext cx="286085" cy="157538"/>
        </a:xfrm>
        <a:prstGeom xmlns:a="http://schemas.openxmlformats.org/drawingml/2006/main" prst="rect">
          <a:avLst/>
        </a:prstGeom>
        <a:noFill xmlns:a="http://schemas.openxmlformats.org/drawingml/2006/main"/>
        <a:ln xmlns:a="http://schemas.openxmlformats.org/drawingml/2006/main">
          <a:solidFill>
            <a:schemeClr val="bg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800" b="1">
              <a:solidFill>
                <a:sysClr val="windowText" lastClr="000000"/>
              </a:solidFill>
              <a:latin typeface="Myriad Condensed Web" pitchFamily="34" charset="0"/>
            </a:rPr>
            <a: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200025</xdr:colOff>
      <xdr:row>14</xdr:row>
      <xdr:rowOff>38100</xdr:rowOff>
    </xdr:from>
    <xdr:to>
      <xdr:col>17</xdr:col>
      <xdr:colOff>156883</xdr:colOff>
      <xdr:row>86</xdr:row>
      <xdr:rowOff>258536</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231322</xdr:colOff>
      <xdr:row>0</xdr:row>
      <xdr:rowOff>108857</xdr:rowOff>
    </xdr:from>
    <xdr:to>
      <xdr:col>20</xdr:col>
      <xdr:colOff>27215</xdr:colOff>
      <xdr:row>1</xdr:row>
      <xdr:rowOff>190500</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0B00-000003000000}"/>
            </a:ext>
          </a:extLst>
        </xdr:cNvPr>
        <xdr:cNvGrpSpPr/>
      </xdr:nvGrpSpPr>
      <xdr:grpSpPr>
        <a:xfrm>
          <a:off x="10870747" y="108857"/>
          <a:ext cx="481693" cy="348343"/>
          <a:chOff x="9791700" y="781050"/>
          <a:chExt cx="390525" cy="381000"/>
        </a:xfrm>
      </xdr:grpSpPr>
      <xdr:sp macro="" textlink="">
        <xdr:nvSpPr>
          <xdr:cNvPr id="4" name="7 Elipse">
            <a:extLst>
              <a:ext uri="{FF2B5EF4-FFF2-40B4-BE49-F238E27FC236}">
                <a16:creationId xmlns:a16="http://schemas.microsoft.com/office/drawing/2014/main" id="{00000000-0008-0000-0B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0B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16.xml><?xml version="1.0" encoding="utf-8"?>
<xdr:wsDr xmlns:xdr="http://schemas.openxmlformats.org/drawingml/2006/spreadsheetDrawing" xmlns:a="http://schemas.openxmlformats.org/drawingml/2006/main">
  <xdr:oneCellAnchor>
    <xdr:from>
      <xdr:col>3</xdr:col>
      <xdr:colOff>81517</xdr:colOff>
      <xdr:row>6</xdr:row>
      <xdr:rowOff>87841</xdr:rowOff>
    </xdr:from>
    <xdr:ext cx="1914525" cy="504857"/>
    <xdr:pic>
      <xdr:nvPicPr>
        <xdr:cNvPr id="2" name="Picture 1028">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0767" y="1992841"/>
          <a:ext cx="1914525" cy="504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47626</xdr:colOff>
      <xdr:row>14</xdr:row>
      <xdr:rowOff>9524</xdr:rowOff>
    </xdr:from>
    <xdr:to>
      <xdr:col>11</xdr:col>
      <xdr:colOff>714376</xdr:colOff>
      <xdr:row>100</xdr:row>
      <xdr:rowOff>123824</xdr:rowOff>
    </xdr:to>
    <xdr:graphicFrame macro="">
      <xdr:nvGraphicFramePr>
        <xdr:cNvPr id="3" name="Gráfico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160866</xdr:colOff>
      <xdr:row>0</xdr:row>
      <xdr:rowOff>107951</xdr:rowOff>
    </xdr:from>
    <xdr:to>
      <xdr:col>12</xdr:col>
      <xdr:colOff>447675</xdr:colOff>
      <xdr:row>1</xdr:row>
      <xdr:rowOff>47625</xdr:rowOff>
    </xdr:to>
    <xdr:grpSp>
      <xdr:nvGrpSpPr>
        <xdr:cNvPr id="4" name="16 Grupo">
          <a:hlinkClick xmlns:r="http://schemas.openxmlformats.org/officeDocument/2006/relationships" r:id="rId3"/>
          <a:extLst>
            <a:ext uri="{FF2B5EF4-FFF2-40B4-BE49-F238E27FC236}">
              <a16:creationId xmlns:a16="http://schemas.microsoft.com/office/drawing/2014/main" id="{00000000-0008-0000-0C00-000004000000}"/>
            </a:ext>
          </a:extLst>
        </xdr:cNvPr>
        <xdr:cNvGrpSpPr/>
      </xdr:nvGrpSpPr>
      <xdr:grpSpPr>
        <a:xfrm>
          <a:off x="7904691" y="107951"/>
          <a:ext cx="286809" cy="244474"/>
          <a:chOff x="9791700" y="781050"/>
          <a:chExt cx="390525" cy="381000"/>
        </a:xfrm>
      </xdr:grpSpPr>
      <xdr:sp macro="" textlink="">
        <xdr:nvSpPr>
          <xdr:cNvPr id="5" name="7 Elipse">
            <a:extLst>
              <a:ext uri="{FF2B5EF4-FFF2-40B4-BE49-F238E27FC236}">
                <a16:creationId xmlns:a16="http://schemas.microsoft.com/office/drawing/2014/main" id="{00000000-0008-0000-0C00-000005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6" name="14 Flecha derecha">
            <a:extLst>
              <a:ext uri="{FF2B5EF4-FFF2-40B4-BE49-F238E27FC236}">
                <a16:creationId xmlns:a16="http://schemas.microsoft.com/office/drawing/2014/main" id="{00000000-0008-0000-0C00-000006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53686</xdr:colOff>
      <xdr:row>15</xdr:row>
      <xdr:rowOff>180973</xdr:rowOff>
    </xdr:from>
    <xdr:to>
      <xdr:col>11</xdr:col>
      <xdr:colOff>503959</xdr:colOff>
      <xdr:row>100</xdr:row>
      <xdr:rowOff>133349</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76200</xdr:colOff>
      <xdr:row>6</xdr:row>
      <xdr:rowOff>76201</xdr:rowOff>
    </xdr:from>
    <xdr:ext cx="1552575" cy="473480"/>
    <xdr:pic>
      <xdr:nvPicPr>
        <xdr:cNvPr id="3" name="Picture 5">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0" y="2057401"/>
          <a:ext cx="1552575" cy="47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190500</xdr:colOff>
      <xdr:row>0</xdr:row>
      <xdr:rowOff>145676</xdr:rowOff>
    </xdr:from>
    <xdr:to>
      <xdr:col>12</xdr:col>
      <xdr:colOff>560293</xdr:colOff>
      <xdr:row>1</xdr:row>
      <xdr:rowOff>145676</xdr:rowOff>
    </xdr:to>
    <xdr:grpSp>
      <xdr:nvGrpSpPr>
        <xdr:cNvPr id="4" name="16 Grupo">
          <a:hlinkClick xmlns:r="http://schemas.openxmlformats.org/officeDocument/2006/relationships" r:id="rId3"/>
          <a:extLst>
            <a:ext uri="{FF2B5EF4-FFF2-40B4-BE49-F238E27FC236}">
              <a16:creationId xmlns:a16="http://schemas.microsoft.com/office/drawing/2014/main" id="{00000000-0008-0000-0D00-000004000000}"/>
            </a:ext>
          </a:extLst>
        </xdr:cNvPr>
        <xdr:cNvGrpSpPr/>
      </xdr:nvGrpSpPr>
      <xdr:grpSpPr>
        <a:xfrm>
          <a:off x="7934325" y="145676"/>
          <a:ext cx="369793" cy="304800"/>
          <a:chOff x="9791700" y="781050"/>
          <a:chExt cx="390525" cy="381000"/>
        </a:xfrm>
      </xdr:grpSpPr>
      <xdr:sp macro="" textlink="">
        <xdr:nvSpPr>
          <xdr:cNvPr id="5" name="7 Elipse">
            <a:extLst>
              <a:ext uri="{FF2B5EF4-FFF2-40B4-BE49-F238E27FC236}">
                <a16:creationId xmlns:a16="http://schemas.microsoft.com/office/drawing/2014/main" id="{00000000-0008-0000-0D00-000005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6" name="14 Flecha derecha">
            <a:extLst>
              <a:ext uri="{FF2B5EF4-FFF2-40B4-BE49-F238E27FC236}">
                <a16:creationId xmlns:a16="http://schemas.microsoft.com/office/drawing/2014/main" id="{00000000-0008-0000-0D00-000006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145676</xdr:colOff>
      <xdr:row>0</xdr:row>
      <xdr:rowOff>145677</xdr:rowOff>
    </xdr:from>
    <xdr:to>
      <xdr:col>10</xdr:col>
      <xdr:colOff>493059</xdr:colOff>
      <xdr:row>1</xdr:row>
      <xdr:rowOff>112058</xdr:rowOff>
    </xdr:to>
    <xdr:grpSp>
      <xdr:nvGrpSpPr>
        <xdr:cNvPr id="7" name="16 Grupo">
          <a:hlinkClick xmlns:r="http://schemas.openxmlformats.org/officeDocument/2006/relationships" r:id="rId1"/>
          <a:extLst>
            <a:ext uri="{FF2B5EF4-FFF2-40B4-BE49-F238E27FC236}">
              <a16:creationId xmlns:a16="http://schemas.microsoft.com/office/drawing/2014/main" id="{00000000-0008-0000-0E00-000007000000}"/>
            </a:ext>
          </a:extLst>
        </xdr:cNvPr>
        <xdr:cNvGrpSpPr/>
      </xdr:nvGrpSpPr>
      <xdr:grpSpPr>
        <a:xfrm>
          <a:off x="9247343" y="145677"/>
          <a:ext cx="347383" cy="294464"/>
          <a:chOff x="9791700" y="781050"/>
          <a:chExt cx="390525" cy="381000"/>
        </a:xfrm>
      </xdr:grpSpPr>
      <xdr:sp macro="" textlink="">
        <xdr:nvSpPr>
          <xdr:cNvPr id="8" name="7 Elipse">
            <a:extLst>
              <a:ext uri="{FF2B5EF4-FFF2-40B4-BE49-F238E27FC236}">
                <a16:creationId xmlns:a16="http://schemas.microsoft.com/office/drawing/2014/main" id="{00000000-0008-0000-0E00-000008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9" name="14 Flecha derecha">
            <a:extLst>
              <a:ext uri="{FF2B5EF4-FFF2-40B4-BE49-F238E27FC236}">
                <a16:creationId xmlns:a16="http://schemas.microsoft.com/office/drawing/2014/main" id="{00000000-0008-0000-0E00-000009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6</xdr:col>
      <xdr:colOff>5836</xdr:colOff>
      <xdr:row>8</xdr:row>
      <xdr:rowOff>184221</xdr:rowOff>
    </xdr:from>
    <xdr:to>
      <xdr:col>9</xdr:col>
      <xdr:colOff>885825</xdr:colOff>
      <xdr:row>111</xdr:row>
      <xdr:rowOff>2380</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569101</xdr:colOff>
      <xdr:row>113</xdr:row>
      <xdr:rowOff>81642</xdr:rowOff>
    </xdr:from>
    <xdr:to>
      <xdr:col>9</xdr:col>
      <xdr:colOff>312965</xdr:colOff>
      <xdr:row>117</xdr:row>
      <xdr:rowOff>5281</xdr:rowOff>
    </xdr:to>
    <xdr:graphicFrame macro="">
      <xdr:nvGraphicFramePr>
        <xdr:cNvPr id="3" name="2 Gráfico">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63873</xdr:colOff>
      <xdr:row>105</xdr:row>
      <xdr:rowOff>154081</xdr:rowOff>
    </xdr:from>
    <xdr:to>
      <xdr:col>8</xdr:col>
      <xdr:colOff>635375</xdr:colOff>
      <xdr:row>124</xdr:row>
      <xdr:rowOff>3923</xdr:rowOff>
    </xdr:to>
    <xdr:graphicFrame macro="">
      <xdr:nvGraphicFramePr>
        <xdr:cNvPr id="3" name="2 Gráfico">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280147</xdr:colOff>
      <xdr:row>0</xdr:row>
      <xdr:rowOff>100853</xdr:rowOff>
    </xdr:from>
    <xdr:to>
      <xdr:col>9</xdr:col>
      <xdr:colOff>627530</xdr:colOff>
      <xdr:row>1</xdr:row>
      <xdr:rowOff>67235</xdr:rowOff>
    </xdr:to>
    <xdr:grpSp>
      <xdr:nvGrpSpPr>
        <xdr:cNvPr id="7" name="16 Grupo">
          <a:hlinkClick xmlns:r="http://schemas.openxmlformats.org/officeDocument/2006/relationships" r:id="rId2"/>
          <a:extLst>
            <a:ext uri="{FF2B5EF4-FFF2-40B4-BE49-F238E27FC236}">
              <a16:creationId xmlns:a16="http://schemas.microsoft.com/office/drawing/2014/main" id="{00000000-0008-0000-0F00-000007000000}"/>
            </a:ext>
          </a:extLst>
        </xdr:cNvPr>
        <xdr:cNvGrpSpPr/>
      </xdr:nvGrpSpPr>
      <xdr:grpSpPr>
        <a:xfrm>
          <a:off x="6833347" y="100853"/>
          <a:ext cx="347383" cy="290232"/>
          <a:chOff x="9791700" y="781050"/>
          <a:chExt cx="390525" cy="381000"/>
        </a:xfrm>
      </xdr:grpSpPr>
      <xdr:sp macro="" textlink="">
        <xdr:nvSpPr>
          <xdr:cNvPr id="8" name="7 Elipse">
            <a:extLst>
              <a:ext uri="{FF2B5EF4-FFF2-40B4-BE49-F238E27FC236}">
                <a16:creationId xmlns:a16="http://schemas.microsoft.com/office/drawing/2014/main" id="{00000000-0008-0000-0F00-000008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9" name="14 Flecha derecha">
            <a:extLst>
              <a:ext uri="{FF2B5EF4-FFF2-40B4-BE49-F238E27FC236}">
                <a16:creationId xmlns:a16="http://schemas.microsoft.com/office/drawing/2014/main" id="{00000000-0008-0000-0F00-000009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142876</xdr:colOff>
      <xdr:row>0</xdr:row>
      <xdr:rowOff>0</xdr:rowOff>
    </xdr:from>
    <xdr:to>
      <xdr:col>1</xdr:col>
      <xdr:colOff>766764</xdr:colOff>
      <xdr:row>3</xdr:row>
      <xdr:rowOff>122132</xdr:rowOff>
    </xdr:to>
    <xdr:pic>
      <xdr:nvPicPr>
        <xdr:cNvPr id="2" name="2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6" y="0"/>
          <a:ext cx="919163" cy="6174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13</xdr:row>
      <xdr:rowOff>0</xdr:rowOff>
    </xdr:from>
    <xdr:to>
      <xdr:col>3</xdr:col>
      <xdr:colOff>0</xdr:colOff>
      <xdr:row>13</xdr:row>
      <xdr:rowOff>0</xdr:rowOff>
    </xdr:to>
    <xdr:sp macro="" textlink="">
      <xdr:nvSpPr>
        <xdr:cNvPr id="2" name="AutoShape 1">
          <a:extLst>
            <a:ext uri="{FF2B5EF4-FFF2-40B4-BE49-F238E27FC236}">
              <a16:creationId xmlns:a16="http://schemas.microsoft.com/office/drawing/2014/main" id="{00000000-0008-0000-1000-000002000000}"/>
            </a:ext>
          </a:extLst>
        </xdr:cNvPr>
        <xdr:cNvSpPr>
          <a:spLocks noChangeArrowheads="1"/>
        </xdr:cNvSpPr>
      </xdr:nvSpPr>
      <xdr:spPr bwMode="auto">
        <a:xfrm rot="5400000">
          <a:off x="1657350" y="45624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C0C0C0"/>
        </a:solidFill>
        <a:ln w="9525">
          <a:solidFill>
            <a:srgbClr val="000000"/>
          </a:solidFill>
          <a:miter lim="800000"/>
          <a:headEnd/>
          <a:tailEnd/>
        </a:ln>
      </xdr:spPr>
    </xdr:sp>
    <xdr:clientData/>
  </xdr:twoCellAnchor>
  <xdr:twoCellAnchor>
    <xdr:from>
      <xdr:col>3</xdr:col>
      <xdr:colOff>0</xdr:colOff>
      <xdr:row>13</xdr:row>
      <xdr:rowOff>0</xdr:rowOff>
    </xdr:from>
    <xdr:to>
      <xdr:col>3</xdr:col>
      <xdr:colOff>0</xdr:colOff>
      <xdr:row>13</xdr:row>
      <xdr:rowOff>0</xdr:rowOff>
    </xdr:to>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rot="5400000">
          <a:off x="1657350" y="4562475"/>
          <a:ext cx="0" cy="0"/>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close/>
            </a:path>
          </a:pathLst>
        </a:custGeom>
        <a:solidFill>
          <a:srgbClr val="C0C0C0"/>
        </a:solidFill>
        <a:ln w="9525">
          <a:solidFill>
            <a:srgbClr val="000000"/>
          </a:solidFill>
          <a:miter lim="800000"/>
          <a:headEnd/>
          <a:tailEnd/>
        </a:ln>
      </xdr:spPr>
    </xdr:sp>
    <xdr:clientData/>
  </xdr:twoCellAnchor>
  <xdr:twoCellAnchor>
    <xdr:from>
      <xdr:col>15</xdr:col>
      <xdr:colOff>180975</xdr:colOff>
      <xdr:row>0</xdr:row>
      <xdr:rowOff>95251</xdr:rowOff>
    </xdr:from>
    <xdr:to>
      <xdr:col>15</xdr:col>
      <xdr:colOff>438150</xdr:colOff>
      <xdr:row>1</xdr:row>
      <xdr:rowOff>38100</xdr:rowOff>
    </xdr:to>
    <xdr:grpSp>
      <xdr:nvGrpSpPr>
        <xdr:cNvPr id="5" name="16 Grupo">
          <a:hlinkClick xmlns:r="http://schemas.openxmlformats.org/officeDocument/2006/relationships" r:id="rId1"/>
          <a:extLst>
            <a:ext uri="{FF2B5EF4-FFF2-40B4-BE49-F238E27FC236}">
              <a16:creationId xmlns:a16="http://schemas.microsoft.com/office/drawing/2014/main" id="{00000000-0008-0000-1000-000005000000}"/>
            </a:ext>
          </a:extLst>
        </xdr:cNvPr>
        <xdr:cNvGrpSpPr/>
      </xdr:nvGrpSpPr>
      <xdr:grpSpPr>
        <a:xfrm>
          <a:off x="7810500" y="95251"/>
          <a:ext cx="257175" cy="247649"/>
          <a:chOff x="9791700" y="781050"/>
          <a:chExt cx="390525" cy="381000"/>
        </a:xfrm>
      </xdr:grpSpPr>
      <xdr:sp macro="" textlink="">
        <xdr:nvSpPr>
          <xdr:cNvPr id="6" name="7 Elipse">
            <a:extLst>
              <a:ext uri="{FF2B5EF4-FFF2-40B4-BE49-F238E27FC236}">
                <a16:creationId xmlns:a16="http://schemas.microsoft.com/office/drawing/2014/main" id="{00000000-0008-0000-1000-000006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7" name="14 Flecha derecha">
            <a:extLst>
              <a:ext uri="{FF2B5EF4-FFF2-40B4-BE49-F238E27FC236}">
                <a16:creationId xmlns:a16="http://schemas.microsoft.com/office/drawing/2014/main" id="{00000000-0008-0000-1000-000007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5</xdr:col>
      <xdr:colOff>47625</xdr:colOff>
      <xdr:row>13</xdr:row>
      <xdr:rowOff>19049</xdr:rowOff>
    </xdr:from>
    <xdr:to>
      <xdr:col>14</xdr:col>
      <xdr:colOff>114300</xdr:colOff>
      <xdr:row>73</xdr:row>
      <xdr:rowOff>85724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280146</xdr:colOff>
      <xdr:row>0</xdr:row>
      <xdr:rowOff>145677</xdr:rowOff>
    </xdr:from>
    <xdr:to>
      <xdr:col>13</xdr:col>
      <xdr:colOff>638736</xdr:colOff>
      <xdr:row>1</xdr:row>
      <xdr:rowOff>89647</xdr:rowOff>
    </xdr:to>
    <xdr:grpSp>
      <xdr:nvGrpSpPr>
        <xdr:cNvPr id="4" name="16 Grupo">
          <a:hlinkClick xmlns:r="http://schemas.openxmlformats.org/officeDocument/2006/relationships" r:id="rId1"/>
          <a:extLst>
            <a:ext uri="{FF2B5EF4-FFF2-40B4-BE49-F238E27FC236}">
              <a16:creationId xmlns:a16="http://schemas.microsoft.com/office/drawing/2014/main" id="{00000000-0008-0000-1100-000004000000}"/>
            </a:ext>
          </a:extLst>
        </xdr:cNvPr>
        <xdr:cNvGrpSpPr/>
      </xdr:nvGrpSpPr>
      <xdr:grpSpPr>
        <a:xfrm>
          <a:off x="8328771" y="145677"/>
          <a:ext cx="358590" cy="286870"/>
          <a:chOff x="9791700" y="781050"/>
          <a:chExt cx="390525" cy="381000"/>
        </a:xfrm>
      </xdr:grpSpPr>
      <xdr:sp macro="" textlink="">
        <xdr:nvSpPr>
          <xdr:cNvPr id="5" name="7 Elipse">
            <a:extLst>
              <a:ext uri="{FF2B5EF4-FFF2-40B4-BE49-F238E27FC236}">
                <a16:creationId xmlns:a16="http://schemas.microsoft.com/office/drawing/2014/main" id="{00000000-0008-0000-1100-000005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6" name="14 Flecha derecha">
            <a:extLst>
              <a:ext uri="{FF2B5EF4-FFF2-40B4-BE49-F238E27FC236}">
                <a16:creationId xmlns:a16="http://schemas.microsoft.com/office/drawing/2014/main" id="{00000000-0008-0000-1100-000006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5</xdr:col>
      <xdr:colOff>78441</xdr:colOff>
      <xdr:row>12</xdr:row>
      <xdr:rowOff>56029</xdr:rowOff>
    </xdr:from>
    <xdr:to>
      <xdr:col>12</xdr:col>
      <xdr:colOff>470646</xdr:colOff>
      <xdr:row>106</xdr:row>
      <xdr:rowOff>76200</xdr:rowOff>
    </xdr:to>
    <xdr:graphicFrame macro="">
      <xdr:nvGraphicFramePr>
        <xdr:cNvPr id="7" name="Gráfico 6">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3</xdr:col>
          <xdr:colOff>200025</xdr:colOff>
          <xdr:row>5</xdr:row>
          <xdr:rowOff>95250</xdr:rowOff>
        </xdr:from>
        <xdr:to>
          <xdr:col>4</xdr:col>
          <xdr:colOff>590550</xdr:colOff>
          <xdr:row>5</xdr:row>
          <xdr:rowOff>361950</xdr:rowOff>
        </xdr:to>
        <xdr:sp macro="" textlink="">
          <xdr:nvSpPr>
            <xdr:cNvPr id="70657" name="Object 1" hidden="1">
              <a:extLst>
                <a:ext uri="{63B3BB69-23CF-44E3-9099-C40C66FF867C}">
                  <a14:compatExt spid="_x0000_s70657"/>
                </a:ext>
                <a:ext uri="{FF2B5EF4-FFF2-40B4-BE49-F238E27FC236}">
                  <a16:creationId xmlns:a16="http://schemas.microsoft.com/office/drawing/2014/main" id="{00000000-0008-0000-1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53</xdr:col>
      <xdr:colOff>0</xdr:colOff>
      <xdr:row>1</xdr:row>
      <xdr:rowOff>19486</xdr:rowOff>
    </xdr:from>
    <xdr:to>
      <xdr:col>60</xdr:col>
      <xdr:colOff>1020534</xdr:colOff>
      <xdr:row>10</xdr:row>
      <xdr:rowOff>544285</xdr:rowOff>
    </xdr:to>
    <xdr:graphicFrame macro="">
      <xdr:nvGraphicFramePr>
        <xdr:cNvPr id="2" name="3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490323</xdr:colOff>
      <xdr:row>0</xdr:row>
      <xdr:rowOff>148236</xdr:rowOff>
    </xdr:from>
    <xdr:to>
      <xdr:col>52</xdr:col>
      <xdr:colOff>883229</xdr:colOff>
      <xdr:row>1</xdr:row>
      <xdr:rowOff>282040</xdr:rowOff>
    </xdr:to>
    <xdr:grpSp>
      <xdr:nvGrpSpPr>
        <xdr:cNvPr id="6" name="16 Grupo">
          <a:hlinkClick xmlns:r="http://schemas.openxmlformats.org/officeDocument/2006/relationships" r:id="rId2"/>
          <a:extLst>
            <a:ext uri="{FF2B5EF4-FFF2-40B4-BE49-F238E27FC236}">
              <a16:creationId xmlns:a16="http://schemas.microsoft.com/office/drawing/2014/main" id="{00000000-0008-0000-1200-000006000000}"/>
            </a:ext>
          </a:extLst>
        </xdr:cNvPr>
        <xdr:cNvGrpSpPr/>
      </xdr:nvGrpSpPr>
      <xdr:grpSpPr>
        <a:xfrm>
          <a:off x="8695430" y="148236"/>
          <a:ext cx="392906" cy="324304"/>
          <a:chOff x="9791700" y="781050"/>
          <a:chExt cx="390525" cy="381000"/>
        </a:xfrm>
      </xdr:grpSpPr>
      <xdr:sp macro="" textlink="">
        <xdr:nvSpPr>
          <xdr:cNvPr id="7" name="7 Elipse">
            <a:extLst>
              <a:ext uri="{FF2B5EF4-FFF2-40B4-BE49-F238E27FC236}">
                <a16:creationId xmlns:a16="http://schemas.microsoft.com/office/drawing/2014/main" id="{00000000-0008-0000-1200-000007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8" name="14 Flecha derecha">
            <a:extLst>
              <a:ext uri="{FF2B5EF4-FFF2-40B4-BE49-F238E27FC236}">
                <a16:creationId xmlns:a16="http://schemas.microsoft.com/office/drawing/2014/main" id="{00000000-0008-0000-1200-000008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23.xml><?xml version="1.0" encoding="utf-8"?>
<xdr:wsDr xmlns:xdr="http://schemas.openxmlformats.org/drawingml/2006/spreadsheetDrawing" xmlns:a="http://schemas.openxmlformats.org/drawingml/2006/main">
  <xdr:oneCellAnchor>
    <xdr:from>
      <xdr:col>3</xdr:col>
      <xdr:colOff>119343</xdr:colOff>
      <xdr:row>5</xdr:row>
      <xdr:rowOff>40341</xdr:rowOff>
    </xdr:from>
    <xdr:ext cx="2933700" cy="399661"/>
    <xdr:sp macro="" textlink="">
      <xdr:nvSpPr>
        <xdr:cNvPr id="2" name="2 CuadroTexto">
          <a:extLst>
            <a:ext uri="{FF2B5EF4-FFF2-40B4-BE49-F238E27FC236}">
              <a16:creationId xmlns:a16="http://schemas.microsoft.com/office/drawing/2014/main" id="{00000000-0008-0000-1300-000002000000}"/>
            </a:ext>
          </a:extLst>
        </xdr:cNvPr>
        <xdr:cNvSpPr txBox="1"/>
      </xdr:nvSpPr>
      <xdr:spPr>
        <a:xfrm>
          <a:off x="1699372" y="2281517"/>
          <a:ext cx="2933700" cy="3996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C" sz="1400" b="0" i="0">
              <a:latin typeface="Cambria Math"/>
            </a:rPr>
            <a:t>𝐼𝑆𝐶=</a:t>
          </a:r>
          <a:r>
            <a:rPr lang="es-EC" sz="1400" b="0" i="0">
              <a:latin typeface="Cambria Math" panose="02040503050406030204" pitchFamily="18" charset="0"/>
            </a:rPr>
            <a:t>(</a:t>
          </a:r>
          <a:r>
            <a:rPr lang="es-EC" sz="1400" b="0" i="0">
              <a:latin typeface="Cambria Math"/>
            </a:rPr>
            <a:t>𝐼𝑃+𝐼𝐼𝐶𝐶+𝐼𝐹+𝐼𝐴𝐶+𝐼𝐼</a:t>
          </a:r>
          <a:r>
            <a:rPr lang="es-EC" sz="1400" b="0" i="0">
              <a:latin typeface="Cambria Math" panose="02040503050406030204" pitchFamily="18" charset="0"/>
            </a:rPr>
            <a:t>)/</a:t>
          </a:r>
          <a:r>
            <a:rPr lang="es-EC" sz="1400" b="0" i="0">
              <a:latin typeface="Cambria Math"/>
            </a:rPr>
            <a:t>5∗100</a:t>
          </a:r>
          <a:r>
            <a:rPr lang="es-EC" sz="1400"/>
            <a:t>%</a:t>
          </a:r>
        </a:p>
      </xdr:txBody>
    </xdr:sp>
    <xdr:clientData/>
  </xdr:oneCellAnchor>
  <xdr:twoCellAnchor>
    <xdr:from>
      <xdr:col>0</xdr:col>
      <xdr:colOff>0</xdr:colOff>
      <xdr:row>23</xdr:row>
      <xdr:rowOff>135565</xdr:rowOff>
    </xdr:from>
    <xdr:to>
      <xdr:col>14</xdr:col>
      <xdr:colOff>552449</xdr:colOff>
      <xdr:row>40</xdr:row>
      <xdr:rowOff>76200</xdr:rowOff>
    </xdr:to>
    <xdr:graphicFrame macro="">
      <xdr:nvGraphicFramePr>
        <xdr:cNvPr id="3" name="Chart 15">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190500</xdr:colOff>
      <xdr:row>0</xdr:row>
      <xdr:rowOff>44824</xdr:rowOff>
    </xdr:from>
    <xdr:to>
      <xdr:col>15</xdr:col>
      <xdr:colOff>581025</xdr:colOff>
      <xdr:row>1</xdr:row>
      <xdr:rowOff>11206</xdr:rowOff>
    </xdr:to>
    <xdr:grpSp>
      <xdr:nvGrpSpPr>
        <xdr:cNvPr id="4" name="6 Grupo">
          <a:hlinkClick xmlns:r="http://schemas.openxmlformats.org/officeDocument/2006/relationships" r:id="rId2"/>
          <a:extLst>
            <a:ext uri="{FF2B5EF4-FFF2-40B4-BE49-F238E27FC236}">
              <a16:creationId xmlns:a16="http://schemas.microsoft.com/office/drawing/2014/main" id="{00000000-0008-0000-1300-000004000000}"/>
            </a:ext>
          </a:extLst>
        </xdr:cNvPr>
        <xdr:cNvGrpSpPr/>
      </xdr:nvGrpSpPr>
      <xdr:grpSpPr>
        <a:xfrm>
          <a:off x="8370794" y="44824"/>
          <a:ext cx="390525" cy="381000"/>
          <a:chOff x="9791700" y="781050"/>
          <a:chExt cx="390525" cy="381000"/>
        </a:xfrm>
      </xdr:grpSpPr>
      <xdr:sp macro="" textlink="">
        <xdr:nvSpPr>
          <xdr:cNvPr id="5" name="10 Elipse">
            <a:extLst>
              <a:ext uri="{FF2B5EF4-FFF2-40B4-BE49-F238E27FC236}">
                <a16:creationId xmlns:a16="http://schemas.microsoft.com/office/drawing/2014/main" id="{00000000-0008-0000-1300-000005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6" name="11 Flecha derecha">
            <a:extLst>
              <a:ext uri="{FF2B5EF4-FFF2-40B4-BE49-F238E27FC236}">
                <a16:creationId xmlns:a16="http://schemas.microsoft.com/office/drawing/2014/main" id="{00000000-0008-0000-1300-000006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60031</xdr:colOff>
      <xdr:row>12</xdr:row>
      <xdr:rowOff>13608</xdr:rowOff>
    </xdr:from>
    <xdr:to>
      <xdr:col>14</xdr:col>
      <xdr:colOff>394608</xdr:colOff>
      <xdr:row>73</xdr:row>
      <xdr:rowOff>142875</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289753</xdr:colOff>
      <xdr:row>0</xdr:row>
      <xdr:rowOff>152879</xdr:rowOff>
    </xdr:from>
    <xdr:to>
      <xdr:col>15</xdr:col>
      <xdr:colOff>721179</xdr:colOff>
      <xdr:row>1</xdr:row>
      <xdr:rowOff>228118</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1400-000003000000}"/>
            </a:ext>
          </a:extLst>
        </xdr:cNvPr>
        <xdr:cNvGrpSpPr/>
      </xdr:nvGrpSpPr>
      <xdr:grpSpPr>
        <a:xfrm>
          <a:off x="11624503" y="152879"/>
          <a:ext cx="431426" cy="374596"/>
          <a:chOff x="9791700" y="781050"/>
          <a:chExt cx="390525" cy="381000"/>
        </a:xfrm>
      </xdr:grpSpPr>
      <xdr:sp macro="" textlink="">
        <xdr:nvSpPr>
          <xdr:cNvPr id="4" name="7 Elipse">
            <a:extLst>
              <a:ext uri="{FF2B5EF4-FFF2-40B4-BE49-F238E27FC236}">
                <a16:creationId xmlns:a16="http://schemas.microsoft.com/office/drawing/2014/main" id="{00000000-0008-0000-14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14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239568</xdr:colOff>
      <xdr:row>0</xdr:row>
      <xdr:rowOff>31751</xdr:rowOff>
    </xdr:from>
    <xdr:to>
      <xdr:col>19</xdr:col>
      <xdr:colOff>630093</xdr:colOff>
      <xdr:row>1</xdr:row>
      <xdr:rowOff>31751</xdr:rowOff>
    </xdr:to>
    <xdr:grpSp>
      <xdr:nvGrpSpPr>
        <xdr:cNvPr id="8" name="16 Grupo">
          <a:hlinkClick xmlns:r="http://schemas.openxmlformats.org/officeDocument/2006/relationships" r:id="rId1"/>
          <a:extLst>
            <a:ext uri="{FF2B5EF4-FFF2-40B4-BE49-F238E27FC236}">
              <a16:creationId xmlns:a16="http://schemas.microsoft.com/office/drawing/2014/main" id="{00000000-0008-0000-1500-000008000000}"/>
            </a:ext>
          </a:extLst>
        </xdr:cNvPr>
        <xdr:cNvGrpSpPr/>
      </xdr:nvGrpSpPr>
      <xdr:grpSpPr>
        <a:xfrm>
          <a:off x="20353193" y="31751"/>
          <a:ext cx="390525" cy="381000"/>
          <a:chOff x="9791700" y="781050"/>
          <a:chExt cx="390525" cy="381000"/>
        </a:xfrm>
      </xdr:grpSpPr>
      <xdr:sp macro="" textlink="">
        <xdr:nvSpPr>
          <xdr:cNvPr id="9" name="7 Elipse">
            <a:extLst>
              <a:ext uri="{FF2B5EF4-FFF2-40B4-BE49-F238E27FC236}">
                <a16:creationId xmlns:a16="http://schemas.microsoft.com/office/drawing/2014/main" id="{00000000-0008-0000-1500-000009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10" name="14 Flecha derecha">
            <a:extLst>
              <a:ext uri="{FF2B5EF4-FFF2-40B4-BE49-F238E27FC236}">
                <a16:creationId xmlns:a16="http://schemas.microsoft.com/office/drawing/2014/main" id="{00000000-0008-0000-1500-00000A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0</xdr:col>
      <xdr:colOff>54430</xdr:colOff>
      <xdr:row>134</xdr:row>
      <xdr:rowOff>40822</xdr:rowOff>
    </xdr:from>
    <xdr:to>
      <xdr:col>17</xdr:col>
      <xdr:colOff>58966</xdr:colOff>
      <xdr:row>155</xdr:row>
      <xdr:rowOff>95251</xdr:rowOff>
    </xdr:to>
    <xdr:graphicFrame macro="">
      <xdr:nvGraphicFramePr>
        <xdr:cNvPr id="7" name="1 Gráfico">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5796</xdr:colOff>
      <xdr:row>84</xdr:row>
      <xdr:rowOff>19179</xdr:rowOff>
    </xdr:from>
    <xdr:to>
      <xdr:col>9</xdr:col>
      <xdr:colOff>68035</xdr:colOff>
      <xdr:row>100</xdr:row>
      <xdr:rowOff>178595</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205924</xdr:colOff>
      <xdr:row>1</xdr:row>
      <xdr:rowOff>59417</xdr:rowOff>
    </xdr:from>
    <xdr:to>
      <xdr:col>14</xdr:col>
      <xdr:colOff>63501</xdr:colOff>
      <xdr:row>2</xdr:row>
      <xdr:rowOff>285750</xdr:rowOff>
    </xdr:to>
    <xdr:grpSp>
      <xdr:nvGrpSpPr>
        <xdr:cNvPr id="4" name="16 Grupo">
          <a:hlinkClick xmlns:r="http://schemas.openxmlformats.org/officeDocument/2006/relationships" r:id="rId2"/>
          <a:extLst>
            <a:ext uri="{FF2B5EF4-FFF2-40B4-BE49-F238E27FC236}">
              <a16:creationId xmlns:a16="http://schemas.microsoft.com/office/drawing/2014/main" id="{00000000-0008-0000-1600-000004000000}"/>
            </a:ext>
          </a:extLst>
        </xdr:cNvPr>
        <xdr:cNvGrpSpPr/>
      </xdr:nvGrpSpPr>
      <xdr:grpSpPr>
        <a:xfrm>
          <a:off x="14153245" y="113846"/>
          <a:ext cx="537935" cy="525690"/>
          <a:chOff x="9791700" y="781050"/>
          <a:chExt cx="390525" cy="381000"/>
        </a:xfrm>
      </xdr:grpSpPr>
      <xdr:sp macro="" textlink="">
        <xdr:nvSpPr>
          <xdr:cNvPr id="5" name="7 Elipse">
            <a:extLst>
              <a:ext uri="{FF2B5EF4-FFF2-40B4-BE49-F238E27FC236}">
                <a16:creationId xmlns:a16="http://schemas.microsoft.com/office/drawing/2014/main" id="{00000000-0008-0000-1600-000005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6" name="14 Flecha derecha">
            <a:extLst>
              <a:ext uri="{FF2B5EF4-FFF2-40B4-BE49-F238E27FC236}">
                <a16:creationId xmlns:a16="http://schemas.microsoft.com/office/drawing/2014/main" id="{00000000-0008-0000-1600-000006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682493</xdr:colOff>
      <xdr:row>73</xdr:row>
      <xdr:rowOff>145730</xdr:rowOff>
    </xdr:from>
    <xdr:to>
      <xdr:col>5</xdr:col>
      <xdr:colOff>1106715</xdr:colOff>
      <xdr:row>92</xdr:row>
      <xdr:rowOff>161018</xdr:rowOff>
    </xdr:to>
    <xdr:graphicFrame macro="">
      <xdr:nvGraphicFramePr>
        <xdr:cNvPr id="2" name="1 Gráfico">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168090</xdr:colOff>
      <xdr:row>0</xdr:row>
      <xdr:rowOff>123264</xdr:rowOff>
    </xdr:from>
    <xdr:to>
      <xdr:col>6</xdr:col>
      <xdr:colOff>466726</xdr:colOff>
      <xdr:row>1</xdr:row>
      <xdr:rowOff>180975</xdr:rowOff>
    </xdr:to>
    <xdr:grpSp>
      <xdr:nvGrpSpPr>
        <xdr:cNvPr id="6" name="16 Grupo">
          <a:hlinkClick xmlns:r="http://schemas.openxmlformats.org/officeDocument/2006/relationships" r:id="rId2"/>
          <a:extLst>
            <a:ext uri="{FF2B5EF4-FFF2-40B4-BE49-F238E27FC236}">
              <a16:creationId xmlns:a16="http://schemas.microsoft.com/office/drawing/2014/main" id="{00000000-0008-0000-1700-000006000000}"/>
            </a:ext>
          </a:extLst>
        </xdr:cNvPr>
        <xdr:cNvGrpSpPr/>
      </xdr:nvGrpSpPr>
      <xdr:grpSpPr>
        <a:xfrm>
          <a:off x="9899465" y="123264"/>
          <a:ext cx="298636" cy="264086"/>
          <a:chOff x="9791700" y="781050"/>
          <a:chExt cx="390525" cy="381000"/>
        </a:xfrm>
      </xdr:grpSpPr>
      <xdr:sp macro="" textlink="">
        <xdr:nvSpPr>
          <xdr:cNvPr id="7" name="7 Elipse">
            <a:extLst>
              <a:ext uri="{FF2B5EF4-FFF2-40B4-BE49-F238E27FC236}">
                <a16:creationId xmlns:a16="http://schemas.microsoft.com/office/drawing/2014/main" id="{00000000-0008-0000-1700-000007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8" name="14 Flecha derecha">
            <a:extLst>
              <a:ext uri="{FF2B5EF4-FFF2-40B4-BE49-F238E27FC236}">
                <a16:creationId xmlns:a16="http://schemas.microsoft.com/office/drawing/2014/main" id="{00000000-0008-0000-1700-000008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97382</xdr:colOff>
      <xdr:row>62</xdr:row>
      <xdr:rowOff>78441</xdr:rowOff>
    </xdr:from>
    <xdr:to>
      <xdr:col>13</xdr:col>
      <xdr:colOff>692897</xdr:colOff>
      <xdr:row>83</xdr:row>
      <xdr:rowOff>123265</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136877</xdr:colOff>
      <xdr:row>0</xdr:row>
      <xdr:rowOff>145677</xdr:rowOff>
    </xdr:from>
    <xdr:to>
      <xdr:col>14</xdr:col>
      <xdr:colOff>459442</xdr:colOff>
      <xdr:row>1</xdr:row>
      <xdr:rowOff>89647</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1800-000003000000}"/>
            </a:ext>
          </a:extLst>
        </xdr:cNvPr>
        <xdr:cNvGrpSpPr/>
      </xdr:nvGrpSpPr>
      <xdr:grpSpPr>
        <a:xfrm>
          <a:off x="9770734" y="145677"/>
          <a:ext cx="322565" cy="284149"/>
          <a:chOff x="9791700" y="781050"/>
          <a:chExt cx="390525" cy="381000"/>
        </a:xfrm>
      </xdr:grpSpPr>
      <xdr:sp macro="" textlink="">
        <xdr:nvSpPr>
          <xdr:cNvPr id="4" name="7 Elipse">
            <a:extLst>
              <a:ext uri="{FF2B5EF4-FFF2-40B4-BE49-F238E27FC236}">
                <a16:creationId xmlns:a16="http://schemas.microsoft.com/office/drawing/2014/main" id="{00000000-0008-0000-18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18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30281</xdr:colOff>
      <xdr:row>11</xdr:row>
      <xdr:rowOff>152400</xdr:rowOff>
    </xdr:from>
    <xdr:to>
      <xdr:col>18</xdr:col>
      <xdr:colOff>369660</xdr:colOff>
      <xdr:row>64</xdr:row>
      <xdr:rowOff>142875</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299759</xdr:colOff>
      <xdr:row>0</xdr:row>
      <xdr:rowOff>0</xdr:rowOff>
    </xdr:from>
    <xdr:to>
      <xdr:col>20</xdr:col>
      <xdr:colOff>647140</xdr:colOff>
      <xdr:row>0</xdr:row>
      <xdr:rowOff>326839</xdr:rowOff>
    </xdr:to>
    <xdr:grpSp>
      <xdr:nvGrpSpPr>
        <xdr:cNvPr id="4" name="16 Grupo">
          <a:hlinkClick xmlns:r="http://schemas.openxmlformats.org/officeDocument/2006/relationships" r:id="rId2"/>
          <a:extLst>
            <a:ext uri="{FF2B5EF4-FFF2-40B4-BE49-F238E27FC236}">
              <a16:creationId xmlns:a16="http://schemas.microsoft.com/office/drawing/2014/main" id="{00000000-0008-0000-1900-000004000000}"/>
            </a:ext>
          </a:extLst>
        </xdr:cNvPr>
        <xdr:cNvGrpSpPr/>
      </xdr:nvGrpSpPr>
      <xdr:grpSpPr>
        <a:xfrm>
          <a:off x="13365818" y="0"/>
          <a:ext cx="347381" cy="326839"/>
          <a:chOff x="9791700" y="781050"/>
          <a:chExt cx="390525" cy="381000"/>
        </a:xfrm>
      </xdr:grpSpPr>
      <xdr:sp macro="" textlink="">
        <xdr:nvSpPr>
          <xdr:cNvPr id="5" name="7 Elipse">
            <a:extLst>
              <a:ext uri="{FF2B5EF4-FFF2-40B4-BE49-F238E27FC236}">
                <a16:creationId xmlns:a16="http://schemas.microsoft.com/office/drawing/2014/main" id="{00000000-0008-0000-1900-000005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6" name="14 Flecha derecha">
            <a:extLst>
              <a:ext uri="{FF2B5EF4-FFF2-40B4-BE49-F238E27FC236}">
                <a16:creationId xmlns:a16="http://schemas.microsoft.com/office/drawing/2014/main" id="{00000000-0008-0000-1900-000006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4</xdr:col>
      <xdr:colOff>590550</xdr:colOff>
      <xdr:row>120</xdr:row>
      <xdr:rowOff>190499</xdr:rowOff>
    </xdr:from>
    <xdr:to>
      <xdr:col>13</xdr:col>
      <xdr:colOff>619125</xdr:colOff>
      <xdr:row>132</xdr:row>
      <xdr:rowOff>164646</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43392</xdr:colOff>
      <xdr:row>113</xdr:row>
      <xdr:rowOff>47625</xdr:rowOff>
    </xdr:from>
    <xdr:to>
      <xdr:col>12</xdr:col>
      <xdr:colOff>763059</xdr:colOff>
      <xdr:row>128</xdr:row>
      <xdr:rowOff>132292</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148285</xdr:colOff>
      <xdr:row>0</xdr:row>
      <xdr:rowOff>46543</xdr:rowOff>
    </xdr:from>
    <xdr:to>
      <xdr:col>13</xdr:col>
      <xdr:colOff>438150</xdr:colOff>
      <xdr:row>0</xdr:row>
      <xdr:rowOff>364331</xdr:rowOff>
    </xdr:to>
    <xdr:grpSp>
      <xdr:nvGrpSpPr>
        <xdr:cNvPr id="12" name="16 Grupo">
          <a:hlinkClick xmlns:r="http://schemas.openxmlformats.org/officeDocument/2006/relationships" r:id="rId2"/>
          <a:extLst>
            <a:ext uri="{FF2B5EF4-FFF2-40B4-BE49-F238E27FC236}">
              <a16:creationId xmlns:a16="http://schemas.microsoft.com/office/drawing/2014/main" id="{00000000-0008-0000-0200-00000C000000}"/>
            </a:ext>
          </a:extLst>
        </xdr:cNvPr>
        <xdr:cNvGrpSpPr/>
      </xdr:nvGrpSpPr>
      <xdr:grpSpPr>
        <a:xfrm>
          <a:off x="11121085" y="46543"/>
          <a:ext cx="289865" cy="317788"/>
          <a:chOff x="9791700" y="781050"/>
          <a:chExt cx="390525" cy="381000"/>
        </a:xfrm>
      </xdr:grpSpPr>
      <xdr:sp macro="" textlink="">
        <xdr:nvSpPr>
          <xdr:cNvPr id="13" name="7 Elipse">
            <a:extLst>
              <a:ext uri="{FF2B5EF4-FFF2-40B4-BE49-F238E27FC236}">
                <a16:creationId xmlns:a16="http://schemas.microsoft.com/office/drawing/2014/main" id="{00000000-0008-0000-0200-00000D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14" name="14 Flecha derecha">
            <a:extLst>
              <a:ext uri="{FF2B5EF4-FFF2-40B4-BE49-F238E27FC236}">
                <a16:creationId xmlns:a16="http://schemas.microsoft.com/office/drawing/2014/main" id="{00000000-0008-0000-0200-00000E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0</xdr:col>
      <xdr:colOff>0</xdr:colOff>
      <xdr:row>130</xdr:row>
      <xdr:rowOff>136525</xdr:rowOff>
    </xdr:from>
    <xdr:to>
      <xdr:col>12</xdr:col>
      <xdr:colOff>762000</xdr:colOff>
      <xdr:row>145</xdr:row>
      <xdr:rowOff>57150</xdr:rowOff>
    </xdr:to>
    <xdr:graphicFrame macro="">
      <xdr:nvGraphicFramePr>
        <xdr:cNvPr id="4" name="3 Gráfico">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856386</xdr:colOff>
      <xdr:row>190</xdr:row>
      <xdr:rowOff>119977</xdr:rowOff>
    </xdr:from>
    <xdr:to>
      <xdr:col>9</xdr:col>
      <xdr:colOff>222251</xdr:colOff>
      <xdr:row>213</xdr:row>
      <xdr:rowOff>15875</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33616</xdr:colOff>
      <xdr:row>83</xdr:row>
      <xdr:rowOff>145677</xdr:rowOff>
    </xdr:from>
    <xdr:to>
      <xdr:col>6</xdr:col>
      <xdr:colOff>683559</xdr:colOff>
      <xdr:row>101</xdr:row>
      <xdr:rowOff>179294</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789078</xdr:colOff>
      <xdr:row>83</xdr:row>
      <xdr:rowOff>163287</xdr:rowOff>
    </xdr:from>
    <xdr:to>
      <xdr:col>13</xdr:col>
      <xdr:colOff>604183</xdr:colOff>
      <xdr:row>101</xdr:row>
      <xdr:rowOff>161019</xdr:rowOff>
    </xdr:to>
    <xdr:graphicFrame macro="">
      <xdr:nvGraphicFramePr>
        <xdr:cNvPr id="6" name="Gráfico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307398</xdr:colOff>
      <xdr:row>1</xdr:row>
      <xdr:rowOff>139989</xdr:rowOff>
    </xdr:from>
    <xdr:to>
      <xdr:col>14</xdr:col>
      <xdr:colOff>697923</xdr:colOff>
      <xdr:row>2</xdr:row>
      <xdr:rowOff>266165</xdr:rowOff>
    </xdr:to>
    <xdr:grpSp>
      <xdr:nvGrpSpPr>
        <xdr:cNvPr id="10" name="16 Grupo">
          <a:hlinkClick xmlns:r="http://schemas.openxmlformats.org/officeDocument/2006/relationships" r:id="rId3"/>
          <a:extLst>
            <a:ext uri="{FF2B5EF4-FFF2-40B4-BE49-F238E27FC236}">
              <a16:creationId xmlns:a16="http://schemas.microsoft.com/office/drawing/2014/main" id="{00000000-0008-0000-1A00-00000A000000}"/>
            </a:ext>
          </a:extLst>
        </xdr:cNvPr>
        <xdr:cNvGrpSpPr/>
      </xdr:nvGrpSpPr>
      <xdr:grpSpPr>
        <a:xfrm>
          <a:off x="16785648" y="344096"/>
          <a:ext cx="390525" cy="330283"/>
          <a:chOff x="9791700" y="781050"/>
          <a:chExt cx="390525" cy="381000"/>
        </a:xfrm>
      </xdr:grpSpPr>
      <xdr:sp macro="" textlink="">
        <xdr:nvSpPr>
          <xdr:cNvPr id="11" name="7 Elipse">
            <a:extLst>
              <a:ext uri="{FF2B5EF4-FFF2-40B4-BE49-F238E27FC236}">
                <a16:creationId xmlns:a16="http://schemas.microsoft.com/office/drawing/2014/main" id="{00000000-0008-0000-1A00-00000B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12" name="14 Flecha derecha">
            <a:extLst>
              <a:ext uri="{FF2B5EF4-FFF2-40B4-BE49-F238E27FC236}">
                <a16:creationId xmlns:a16="http://schemas.microsoft.com/office/drawing/2014/main" id="{00000000-0008-0000-1A00-00000C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282040</xdr:colOff>
      <xdr:row>1</xdr:row>
      <xdr:rowOff>54429</xdr:rowOff>
    </xdr:from>
    <xdr:to>
      <xdr:col>15</xdr:col>
      <xdr:colOff>51956</xdr:colOff>
      <xdr:row>2</xdr:row>
      <xdr:rowOff>103910</xdr:rowOff>
    </xdr:to>
    <xdr:grpSp>
      <xdr:nvGrpSpPr>
        <xdr:cNvPr id="2" name="16 Grupo">
          <a:hlinkClick xmlns:r="http://schemas.openxmlformats.org/officeDocument/2006/relationships" r:id="rId1"/>
          <a:extLst>
            <a:ext uri="{FF2B5EF4-FFF2-40B4-BE49-F238E27FC236}">
              <a16:creationId xmlns:a16="http://schemas.microsoft.com/office/drawing/2014/main" id="{00000000-0008-0000-1B00-000002000000}"/>
            </a:ext>
          </a:extLst>
        </xdr:cNvPr>
        <xdr:cNvGrpSpPr/>
      </xdr:nvGrpSpPr>
      <xdr:grpSpPr>
        <a:xfrm>
          <a:off x="14365433" y="204108"/>
          <a:ext cx="450273" cy="416873"/>
          <a:chOff x="9791700" y="781050"/>
          <a:chExt cx="390525" cy="381000"/>
        </a:xfrm>
      </xdr:grpSpPr>
      <xdr:sp macro="" textlink="">
        <xdr:nvSpPr>
          <xdr:cNvPr id="3" name="7 Elipse">
            <a:extLst>
              <a:ext uri="{FF2B5EF4-FFF2-40B4-BE49-F238E27FC236}">
                <a16:creationId xmlns:a16="http://schemas.microsoft.com/office/drawing/2014/main" id="{00000000-0008-0000-1B00-000003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4" name="14 Flecha derecha">
            <a:extLst>
              <a:ext uri="{FF2B5EF4-FFF2-40B4-BE49-F238E27FC236}">
                <a16:creationId xmlns:a16="http://schemas.microsoft.com/office/drawing/2014/main" id="{00000000-0008-0000-1B00-000004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235857</xdr:colOff>
      <xdr:row>1</xdr:row>
      <xdr:rowOff>54428</xdr:rowOff>
    </xdr:from>
    <xdr:to>
      <xdr:col>13</xdr:col>
      <xdr:colOff>762000</xdr:colOff>
      <xdr:row>2</xdr:row>
      <xdr:rowOff>127001</xdr:rowOff>
    </xdr:to>
    <xdr:grpSp>
      <xdr:nvGrpSpPr>
        <xdr:cNvPr id="2" name="16 Grupo">
          <a:hlinkClick xmlns:r="http://schemas.openxmlformats.org/officeDocument/2006/relationships" r:id="rId1"/>
          <a:extLst>
            <a:ext uri="{FF2B5EF4-FFF2-40B4-BE49-F238E27FC236}">
              <a16:creationId xmlns:a16="http://schemas.microsoft.com/office/drawing/2014/main" id="{00000000-0008-0000-1C00-000002000000}"/>
            </a:ext>
          </a:extLst>
        </xdr:cNvPr>
        <xdr:cNvGrpSpPr/>
      </xdr:nvGrpSpPr>
      <xdr:grpSpPr>
        <a:xfrm>
          <a:off x="17536721" y="210292"/>
          <a:ext cx="526143" cy="436254"/>
          <a:chOff x="9791700" y="781050"/>
          <a:chExt cx="390525" cy="381000"/>
        </a:xfrm>
      </xdr:grpSpPr>
      <xdr:sp macro="" textlink="">
        <xdr:nvSpPr>
          <xdr:cNvPr id="3" name="7 Elipse">
            <a:extLst>
              <a:ext uri="{FF2B5EF4-FFF2-40B4-BE49-F238E27FC236}">
                <a16:creationId xmlns:a16="http://schemas.microsoft.com/office/drawing/2014/main" id="{00000000-0008-0000-1C00-000003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4" name="14 Flecha derecha">
            <a:extLst>
              <a:ext uri="{FF2B5EF4-FFF2-40B4-BE49-F238E27FC236}">
                <a16:creationId xmlns:a16="http://schemas.microsoft.com/office/drawing/2014/main" id="{00000000-0008-0000-1C00-000004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676275</xdr:colOff>
      <xdr:row>1</xdr:row>
      <xdr:rowOff>0</xdr:rowOff>
    </xdr:from>
    <xdr:to>
      <xdr:col>10</xdr:col>
      <xdr:colOff>676275</xdr:colOff>
      <xdr:row>44</xdr:row>
      <xdr:rowOff>9525</xdr:rowOff>
    </xdr:to>
    <xdr:sp macro="" textlink="">
      <xdr:nvSpPr>
        <xdr:cNvPr id="3" name="2 Rectángulo">
          <a:extLst>
            <a:ext uri="{FF2B5EF4-FFF2-40B4-BE49-F238E27FC236}">
              <a16:creationId xmlns:a16="http://schemas.microsoft.com/office/drawing/2014/main" id="{00000000-0008-0000-1D00-000003000000}"/>
            </a:ext>
          </a:extLst>
        </xdr:cNvPr>
        <xdr:cNvSpPr/>
      </xdr:nvSpPr>
      <xdr:spPr>
        <a:xfrm>
          <a:off x="4105275" y="123825"/>
          <a:ext cx="3429000" cy="5210175"/>
        </a:xfrm>
        <a:prstGeom prst="rect">
          <a:avLst/>
        </a:prstGeom>
        <a:solidFill>
          <a:sysClr val="window" lastClr="FFFFFF"/>
        </a:solid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0</xdr:col>
      <xdr:colOff>714376</xdr:colOff>
      <xdr:row>0</xdr:row>
      <xdr:rowOff>114300</xdr:rowOff>
    </xdr:from>
    <xdr:to>
      <xdr:col>2</xdr:col>
      <xdr:colOff>152400</xdr:colOff>
      <xdr:row>6</xdr:row>
      <xdr:rowOff>9525</xdr:rowOff>
    </xdr:to>
    <xdr:sp macro="" textlink="">
      <xdr:nvSpPr>
        <xdr:cNvPr id="6" name="6 Rectángulo">
          <a:extLst>
            <a:ext uri="{FF2B5EF4-FFF2-40B4-BE49-F238E27FC236}">
              <a16:creationId xmlns:a16="http://schemas.microsoft.com/office/drawing/2014/main" id="{00000000-0008-0000-1D00-000006000000}"/>
            </a:ext>
          </a:extLst>
        </xdr:cNvPr>
        <xdr:cNvSpPr/>
      </xdr:nvSpPr>
      <xdr:spPr>
        <a:xfrm>
          <a:off x="7143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4</xdr:col>
      <xdr:colOff>561976</xdr:colOff>
      <xdr:row>0</xdr:row>
      <xdr:rowOff>114300</xdr:rowOff>
    </xdr:from>
    <xdr:to>
      <xdr:col>6</xdr:col>
      <xdr:colOff>0</xdr:colOff>
      <xdr:row>6</xdr:row>
      <xdr:rowOff>9525</xdr:rowOff>
    </xdr:to>
    <xdr:sp macro="" textlink="">
      <xdr:nvSpPr>
        <xdr:cNvPr id="7" name="8 Rectángulo">
          <a:extLst>
            <a:ext uri="{FF2B5EF4-FFF2-40B4-BE49-F238E27FC236}">
              <a16:creationId xmlns:a16="http://schemas.microsoft.com/office/drawing/2014/main" id="{00000000-0008-0000-1D00-000007000000}"/>
            </a:ext>
          </a:extLst>
        </xdr:cNvPr>
        <xdr:cNvSpPr/>
      </xdr:nvSpPr>
      <xdr:spPr>
        <a:xfrm>
          <a:off x="36099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2</xdr:col>
      <xdr:colOff>171451</xdr:colOff>
      <xdr:row>0</xdr:row>
      <xdr:rowOff>114300</xdr:rowOff>
    </xdr:from>
    <xdr:to>
      <xdr:col>4</xdr:col>
      <xdr:colOff>542925</xdr:colOff>
      <xdr:row>6</xdr:row>
      <xdr:rowOff>9525</xdr:rowOff>
    </xdr:to>
    <xdr:sp macro="" textlink="">
      <xdr:nvSpPr>
        <xdr:cNvPr id="8" name="9 Rectángulo">
          <a:extLst>
            <a:ext uri="{FF2B5EF4-FFF2-40B4-BE49-F238E27FC236}">
              <a16:creationId xmlns:a16="http://schemas.microsoft.com/office/drawing/2014/main" id="{00000000-0008-0000-1D00-000008000000}"/>
            </a:ext>
          </a:extLst>
        </xdr:cNvPr>
        <xdr:cNvSpPr/>
      </xdr:nvSpPr>
      <xdr:spPr>
        <a:xfrm>
          <a:off x="1695451" y="114300"/>
          <a:ext cx="189547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6</xdr:col>
      <xdr:colOff>153436</xdr:colOff>
      <xdr:row>39</xdr:row>
      <xdr:rowOff>95250</xdr:rowOff>
    </xdr:from>
    <xdr:to>
      <xdr:col>7</xdr:col>
      <xdr:colOff>85725</xdr:colOff>
      <xdr:row>42</xdr:row>
      <xdr:rowOff>70689</xdr:rowOff>
    </xdr:to>
    <xdr:sp macro="" textlink="">
      <xdr:nvSpPr>
        <xdr:cNvPr id="26" name="37 Forma libre">
          <a:extLst>
            <a:ext uri="{FF2B5EF4-FFF2-40B4-BE49-F238E27FC236}">
              <a16:creationId xmlns:a16="http://schemas.microsoft.com/office/drawing/2014/main" id="{00000000-0008-0000-1D00-00001A000000}"/>
            </a:ext>
          </a:extLst>
        </xdr:cNvPr>
        <xdr:cNvSpPr/>
      </xdr:nvSpPr>
      <xdr:spPr>
        <a:xfrm>
          <a:off x="4268236" y="4800600"/>
          <a:ext cx="618089" cy="346914"/>
        </a:xfrm>
        <a:custGeom>
          <a:avLst/>
          <a:gdLst>
            <a:gd name="connsiteX0" fmla="*/ 0 w 768557"/>
            <a:gd name="connsiteY0" fmla="*/ 71722 h 430321"/>
            <a:gd name="connsiteX1" fmla="*/ 71722 w 768557"/>
            <a:gd name="connsiteY1" fmla="*/ 0 h 430321"/>
            <a:gd name="connsiteX2" fmla="*/ 696835 w 768557"/>
            <a:gd name="connsiteY2" fmla="*/ 0 h 430321"/>
            <a:gd name="connsiteX3" fmla="*/ 768557 w 768557"/>
            <a:gd name="connsiteY3" fmla="*/ 71722 h 430321"/>
            <a:gd name="connsiteX4" fmla="*/ 768557 w 768557"/>
            <a:gd name="connsiteY4" fmla="*/ 358599 h 430321"/>
            <a:gd name="connsiteX5" fmla="*/ 696835 w 768557"/>
            <a:gd name="connsiteY5" fmla="*/ 430321 h 430321"/>
            <a:gd name="connsiteX6" fmla="*/ 71722 w 768557"/>
            <a:gd name="connsiteY6" fmla="*/ 430321 h 430321"/>
            <a:gd name="connsiteX7" fmla="*/ 0 w 768557"/>
            <a:gd name="connsiteY7" fmla="*/ 358599 h 430321"/>
            <a:gd name="connsiteX8" fmla="*/ 0 w 768557"/>
            <a:gd name="connsiteY8" fmla="*/ 71722 h 4303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8557" h="430321">
              <a:moveTo>
                <a:pt x="0" y="71722"/>
              </a:moveTo>
              <a:cubicBezTo>
                <a:pt x="0" y="32111"/>
                <a:pt x="32111" y="0"/>
                <a:pt x="71722" y="0"/>
              </a:cubicBezTo>
              <a:lnTo>
                <a:pt x="696835" y="0"/>
              </a:lnTo>
              <a:cubicBezTo>
                <a:pt x="736446" y="0"/>
                <a:pt x="768557" y="32111"/>
                <a:pt x="768557" y="71722"/>
              </a:cubicBezTo>
              <a:lnTo>
                <a:pt x="768557" y="358599"/>
              </a:lnTo>
              <a:cubicBezTo>
                <a:pt x="768557" y="398210"/>
                <a:pt x="736446" y="430321"/>
                <a:pt x="696835" y="430321"/>
              </a:cubicBezTo>
              <a:lnTo>
                <a:pt x="71722" y="430321"/>
              </a:lnTo>
              <a:cubicBezTo>
                <a:pt x="32111" y="430321"/>
                <a:pt x="0" y="398210"/>
                <a:pt x="0" y="358599"/>
              </a:cubicBezTo>
              <a:lnTo>
                <a:pt x="0" y="7172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347" tIns="47677" rIns="74347" bIns="47677" numCol="1" spcCol="1270" anchor="ctr" anchorCtr="0">
          <a:noAutofit/>
        </a:bodyPr>
        <a:lstStyle/>
        <a:p>
          <a:pPr lvl="0" algn="ctr" defTabSz="622300">
            <a:lnSpc>
              <a:spcPct val="90000"/>
            </a:lnSpc>
            <a:spcBef>
              <a:spcPct val="0"/>
            </a:spcBef>
            <a:spcAft>
              <a:spcPct val="35000"/>
            </a:spcAft>
          </a:pPr>
          <a:r>
            <a:rPr lang="es-EC" sz="1400" kern="1200"/>
            <a:t>24</a:t>
          </a:r>
        </a:p>
      </xdr:txBody>
    </xdr:sp>
    <xdr:clientData/>
  </xdr:twoCellAnchor>
  <xdr:twoCellAnchor>
    <xdr:from>
      <xdr:col>6</xdr:col>
      <xdr:colOff>57150</xdr:colOff>
      <xdr:row>11</xdr:row>
      <xdr:rowOff>95250</xdr:rowOff>
    </xdr:from>
    <xdr:to>
      <xdr:col>10</xdr:col>
      <xdr:colOff>609600</xdr:colOff>
      <xdr:row>13</xdr:row>
      <xdr:rowOff>95250</xdr:rowOff>
    </xdr:to>
    <xdr:sp macro="" textlink="">
      <xdr:nvSpPr>
        <xdr:cNvPr id="33" name="46 Rectángulo">
          <a:extLst>
            <a:ext uri="{FF2B5EF4-FFF2-40B4-BE49-F238E27FC236}">
              <a16:creationId xmlns:a16="http://schemas.microsoft.com/office/drawing/2014/main" id="{00000000-0008-0000-1D00-000021000000}"/>
            </a:ext>
          </a:extLst>
        </xdr:cNvPr>
        <xdr:cNvSpPr/>
      </xdr:nvSpPr>
      <xdr:spPr>
        <a:xfrm>
          <a:off x="4171950" y="1457325"/>
          <a:ext cx="329565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100"/>
            <a:t>Incrementar la calidad del servicio de la distribución</a:t>
          </a:r>
        </a:p>
      </xdr:txBody>
    </xdr:sp>
    <xdr:clientData/>
  </xdr:twoCellAnchor>
  <xdr:twoCellAnchor>
    <xdr:from>
      <xdr:col>6</xdr:col>
      <xdr:colOff>66675</xdr:colOff>
      <xdr:row>32</xdr:row>
      <xdr:rowOff>22412</xdr:rowOff>
    </xdr:from>
    <xdr:to>
      <xdr:col>10</xdr:col>
      <xdr:colOff>619125</xdr:colOff>
      <xdr:row>34</xdr:row>
      <xdr:rowOff>104775</xdr:rowOff>
    </xdr:to>
    <xdr:sp macro="" textlink="">
      <xdr:nvSpPr>
        <xdr:cNvPr id="35" name="48 Rectángulo">
          <a:extLst>
            <a:ext uri="{FF2B5EF4-FFF2-40B4-BE49-F238E27FC236}">
              <a16:creationId xmlns:a16="http://schemas.microsoft.com/office/drawing/2014/main" id="{00000000-0008-0000-1D00-000023000000}"/>
            </a:ext>
          </a:extLst>
        </xdr:cNvPr>
        <xdr:cNvSpPr/>
      </xdr:nvSpPr>
      <xdr:spPr>
        <a:xfrm>
          <a:off x="4168028" y="3966883"/>
          <a:ext cx="3286685" cy="32889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100"/>
            <a:t>PROGRAMAS</a:t>
          </a:r>
          <a:r>
            <a:rPr lang="es-EC" sz="1100" baseline="0"/>
            <a:t> ENBLEMATICOS</a:t>
          </a:r>
          <a:endParaRPr lang="es-EC" sz="1100"/>
        </a:p>
      </xdr:txBody>
    </xdr:sp>
    <xdr:clientData/>
  </xdr:twoCellAnchor>
  <xdr:twoCellAnchor>
    <xdr:from>
      <xdr:col>11</xdr:col>
      <xdr:colOff>85725</xdr:colOff>
      <xdr:row>1</xdr:row>
      <xdr:rowOff>19050</xdr:rowOff>
    </xdr:from>
    <xdr:to>
      <xdr:col>11</xdr:col>
      <xdr:colOff>476250</xdr:colOff>
      <xdr:row>4</xdr:row>
      <xdr:rowOff>28575</xdr:rowOff>
    </xdr:to>
    <xdr:grpSp>
      <xdr:nvGrpSpPr>
        <xdr:cNvPr id="36" name="16 Grupo">
          <a:hlinkClick xmlns:r="http://schemas.openxmlformats.org/officeDocument/2006/relationships" r:id="rId1"/>
          <a:extLst>
            <a:ext uri="{FF2B5EF4-FFF2-40B4-BE49-F238E27FC236}">
              <a16:creationId xmlns:a16="http://schemas.microsoft.com/office/drawing/2014/main" id="{00000000-0008-0000-1D00-000024000000}"/>
            </a:ext>
          </a:extLst>
        </xdr:cNvPr>
        <xdr:cNvGrpSpPr/>
      </xdr:nvGrpSpPr>
      <xdr:grpSpPr>
        <a:xfrm>
          <a:off x="7604872" y="142315"/>
          <a:ext cx="390525" cy="379319"/>
          <a:chOff x="9791700" y="781050"/>
          <a:chExt cx="390525" cy="381000"/>
        </a:xfrm>
      </xdr:grpSpPr>
      <xdr:sp macro="" textlink="">
        <xdr:nvSpPr>
          <xdr:cNvPr id="37" name="7 Elipse">
            <a:extLst>
              <a:ext uri="{FF2B5EF4-FFF2-40B4-BE49-F238E27FC236}">
                <a16:creationId xmlns:a16="http://schemas.microsoft.com/office/drawing/2014/main" id="{00000000-0008-0000-1D00-000025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38" name="14 Flecha derecha">
            <a:extLst>
              <a:ext uri="{FF2B5EF4-FFF2-40B4-BE49-F238E27FC236}">
                <a16:creationId xmlns:a16="http://schemas.microsoft.com/office/drawing/2014/main" id="{00000000-0008-0000-1D00-000026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oneCellAnchor>
    <xdr:from>
      <xdr:col>1</xdr:col>
      <xdr:colOff>209551</xdr:colOff>
      <xdr:row>24</xdr:row>
      <xdr:rowOff>66417</xdr:rowOff>
    </xdr:from>
    <xdr:ext cx="3257549" cy="1035552"/>
    <xdr:sp macro="" textlink="">
      <xdr:nvSpPr>
        <xdr:cNvPr id="42" name="3 Rectángulo">
          <a:extLst>
            <a:ext uri="{FF2B5EF4-FFF2-40B4-BE49-F238E27FC236}">
              <a16:creationId xmlns:a16="http://schemas.microsoft.com/office/drawing/2014/main" id="{00000000-0008-0000-1D00-00002A000000}"/>
            </a:ext>
          </a:extLst>
        </xdr:cNvPr>
        <xdr:cNvSpPr/>
      </xdr:nvSpPr>
      <xdr:spPr>
        <a:xfrm>
          <a:off x="895351" y="3038217"/>
          <a:ext cx="3257549" cy="1035552"/>
        </a:xfrm>
        <a:prstGeom prst="rect">
          <a:avLst/>
        </a:prstGeom>
        <a:noFill/>
      </xdr:spPr>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ELECGALAPAGOS</a:t>
          </a:r>
        </a:p>
      </xdr:txBody>
    </xdr:sp>
    <xdr:clientData/>
  </xdr:oneCellAnchor>
  <xdr:twoCellAnchor>
    <xdr:from>
      <xdr:col>4</xdr:col>
      <xdr:colOff>609601</xdr:colOff>
      <xdr:row>1</xdr:row>
      <xdr:rowOff>66675</xdr:rowOff>
    </xdr:from>
    <xdr:to>
      <xdr:col>5</xdr:col>
      <xdr:colOff>631739</xdr:colOff>
      <xdr:row>5</xdr:row>
      <xdr:rowOff>25644</xdr:rowOff>
    </xdr:to>
    <xdr:pic>
      <xdr:nvPicPr>
        <xdr:cNvPr id="44" name="21 Imagen" descr="Disposición nuevo logo CENTROSUR">
          <a:extLst>
            <a:ext uri="{FF2B5EF4-FFF2-40B4-BE49-F238E27FC236}">
              <a16:creationId xmlns:a16="http://schemas.microsoft.com/office/drawing/2014/main" id="{00000000-0008-0000-1D00-00002C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36" t="2092" r="49688" b="4549"/>
        <a:stretch/>
      </xdr:blipFill>
      <xdr:spPr bwMode="auto">
        <a:xfrm>
          <a:off x="3352801" y="190500"/>
          <a:ext cx="707938" cy="45426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409577</xdr:colOff>
      <xdr:row>15</xdr:row>
      <xdr:rowOff>92319</xdr:rowOff>
    </xdr:from>
    <xdr:to>
      <xdr:col>4</xdr:col>
      <xdr:colOff>600075</xdr:colOff>
      <xdr:row>22</xdr:row>
      <xdr:rowOff>35169</xdr:rowOff>
    </xdr:to>
    <xdr:pic>
      <xdr:nvPicPr>
        <xdr:cNvPr id="46" name="Imagen 45" descr="C:\Users\SAT\Pictures\EEG.jpg">
          <a:extLst>
            <a:ext uri="{FF2B5EF4-FFF2-40B4-BE49-F238E27FC236}">
              <a16:creationId xmlns:a16="http://schemas.microsoft.com/office/drawing/2014/main" id="{00000000-0008-0000-1D00-00002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1177" y="1949694"/>
          <a:ext cx="1562098" cy="809625"/>
        </a:xfrm>
        <a:prstGeom prst="rect">
          <a:avLst/>
        </a:prstGeom>
        <a:noFill/>
        <a:ln>
          <a:noFill/>
        </a:ln>
      </xdr:spPr>
    </xdr:pic>
    <xdr:clientData/>
  </xdr:twoCellAnchor>
  <xdr:twoCellAnchor editAs="oneCell">
    <xdr:from>
      <xdr:col>1</xdr:col>
      <xdr:colOff>28575</xdr:colOff>
      <xdr:row>1</xdr:row>
      <xdr:rowOff>73269</xdr:rowOff>
    </xdr:from>
    <xdr:to>
      <xdr:col>2</xdr:col>
      <xdr:colOff>114300</xdr:colOff>
      <xdr:row>5</xdr:row>
      <xdr:rowOff>63744</xdr:rowOff>
    </xdr:to>
    <xdr:pic>
      <xdr:nvPicPr>
        <xdr:cNvPr id="47" name="Imagen 46" descr="C:\Users\SAT\Pictures\EEG.jpg">
          <a:extLst>
            <a:ext uri="{FF2B5EF4-FFF2-40B4-BE49-F238E27FC236}">
              <a16:creationId xmlns:a16="http://schemas.microsoft.com/office/drawing/2014/main" id="{00000000-0008-0000-1D00-00002F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197094"/>
          <a:ext cx="771525" cy="485775"/>
        </a:xfrm>
        <a:prstGeom prst="rect">
          <a:avLst/>
        </a:prstGeom>
        <a:noFill/>
        <a:ln>
          <a:noFill/>
        </a:ln>
      </xdr:spPr>
    </xdr:pic>
    <xdr:clientData/>
  </xdr:twoCellAnchor>
  <xdr:twoCellAnchor>
    <xdr:from>
      <xdr:col>6</xdr:col>
      <xdr:colOff>57213</xdr:colOff>
      <xdr:row>18</xdr:row>
      <xdr:rowOff>41796</xdr:rowOff>
    </xdr:from>
    <xdr:to>
      <xdr:col>7</xdr:col>
      <xdr:colOff>60861</xdr:colOff>
      <xdr:row>21</xdr:row>
      <xdr:rowOff>42583</xdr:rowOff>
    </xdr:to>
    <xdr:sp macro="" textlink="">
      <xdr:nvSpPr>
        <xdr:cNvPr id="48" name="27 Forma libre">
          <a:extLst>
            <a:ext uri="{FF2B5EF4-FFF2-40B4-BE49-F238E27FC236}">
              <a16:creationId xmlns:a16="http://schemas.microsoft.com/office/drawing/2014/main" id="{00000000-0008-0000-1D00-000030000000}"/>
            </a:ext>
          </a:extLst>
        </xdr:cNvPr>
        <xdr:cNvSpPr/>
      </xdr:nvSpPr>
      <xdr:spPr>
        <a:xfrm>
          <a:off x="4158566" y="2260561"/>
          <a:ext cx="687207" cy="370581"/>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18</a:t>
          </a:r>
        </a:p>
      </xdr:txBody>
    </xdr:sp>
    <xdr:clientData/>
  </xdr:twoCellAnchor>
  <xdr:twoCellAnchor>
    <xdr:from>
      <xdr:col>6</xdr:col>
      <xdr:colOff>55532</xdr:colOff>
      <xdr:row>22</xdr:row>
      <xdr:rowOff>2015</xdr:rowOff>
    </xdr:from>
    <xdr:to>
      <xdr:col>7</xdr:col>
      <xdr:colOff>59180</xdr:colOff>
      <xdr:row>25</xdr:row>
      <xdr:rowOff>2801</xdr:rowOff>
    </xdr:to>
    <xdr:sp macro="" textlink="">
      <xdr:nvSpPr>
        <xdr:cNvPr id="49" name="27 Forma libre">
          <a:extLst>
            <a:ext uri="{FF2B5EF4-FFF2-40B4-BE49-F238E27FC236}">
              <a16:creationId xmlns:a16="http://schemas.microsoft.com/office/drawing/2014/main" id="{00000000-0008-0000-1D00-000031000000}"/>
            </a:ext>
          </a:extLst>
        </xdr:cNvPr>
        <xdr:cNvSpPr/>
      </xdr:nvSpPr>
      <xdr:spPr>
        <a:xfrm>
          <a:off x="4156885" y="2713839"/>
          <a:ext cx="687207" cy="370580"/>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12</a:t>
          </a:r>
        </a:p>
      </xdr:txBody>
    </xdr:sp>
    <xdr:clientData/>
  </xdr:twoCellAnchor>
  <xdr:twoCellAnchor>
    <xdr:from>
      <xdr:col>6</xdr:col>
      <xdr:colOff>65057</xdr:colOff>
      <xdr:row>7</xdr:row>
      <xdr:rowOff>94464</xdr:rowOff>
    </xdr:from>
    <xdr:to>
      <xdr:col>7</xdr:col>
      <xdr:colOff>68705</xdr:colOff>
      <xdr:row>10</xdr:row>
      <xdr:rowOff>95250</xdr:rowOff>
    </xdr:to>
    <xdr:sp macro="" textlink="">
      <xdr:nvSpPr>
        <xdr:cNvPr id="51" name="27 Forma libre">
          <a:extLst>
            <a:ext uri="{FF2B5EF4-FFF2-40B4-BE49-F238E27FC236}">
              <a16:creationId xmlns:a16="http://schemas.microsoft.com/office/drawing/2014/main" id="{00000000-0008-0000-1D00-000033000000}"/>
            </a:ext>
          </a:extLst>
        </xdr:cNvPr>
        <xdr:cNvSpPr/>
      </xdr:nvSpPr>
      <xdr:spPr>
        <a:xfrm>
          <a:off x="4179857" y="961239"/>
          <a:ext cx="689448" cy="372261"/>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14</a:t>
          </a:r>
        </a:p>
      </xdr:txBody>
    </xdr:sp>
    <xdr:clientData/>
  </xdr:twoCellAnchor>
  <xdr:twoCellAnchor>
    <xdr:from>
      <xdr:col>6</xdr:col>
      <xdr:colOff>68356</xdr:colOff>
      <xdr:row>2</xdr:row>
      <xdr:rowOff>16809</xdr:rowOff>
    </xdr:from>
    <xdr:to>
      <xdr:col>10</xdr:col>
      <xdr:colOff>620806</xdr:colOff>
      <xdr:row>4</xdr:row>
      <xdr:rowOff>16808</xdr:rowOff>
    </xdr:to>
    <xdr:sp macro="" textlink="">
      <xdr:nvSpPr>
        <xdr:cNvPr id="52" name="46 Rectángulo">
          <a:extLst>
            <a:ext uri="{FF2B5EF4-FFF2-40B4-BE49-F238E27FC236}">
              <a16:creationId xmlns:a16="http://schemas.microsoft.com/office/drawing/2014/main" id="{00000000-0008-0000-1D00-000034000000}"/>
            </a:ext>
          </a:extLst>
        </xdr:cNvPr>
        <xdr:cNvSpPr/>
      </xdr:nvSpPr>
      <xdr:spPr>
        <a:xfrm>
          <a:off x="4169709" y="263338"/>
          <a:ext cx="3286685" cy="24652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100"/>
            <a:t>CLIENTES</a:t>
          </a:r>
        </a:p>
      </xdr:txBody>
    </xdr:sp>
    <xdr:clientData/>
  </xdr:twoCellAnchor>
  <xdr:oneCellAnchor>
    <xdr:from>
      <xdr:col>2</xdr:col>
      <xdr:colOff>85677</xdr:colOff>
      <xdr:row>36</xdr:row>
      <xdr:rowOff>47625</xdr:rowOff>
    </xdr:from>
    <xdr:ext cx="2654766" cy="343940"/>
    <xdr:sp macro="" textlink="">
      <xdr:nvSpPr>
        <xdr:cNvPr id="150" name="22 Rectángulo">
          <a:extLst>
            <a:ext uri="{FF2B5EF4-FFF2-40B4-BE49-F238E27FC236}">
              <a16:creationId xmlns:a16="http://schemas.microsoft.com/office/drawing/2014/main" id="{00000000-0008-0000-1D00-000096000000}"/>
            </a:ext>
          </a:extLst>
        </xdr:cNvPr>
        <xdr:cNvSpPr/>
      </xdr:nvSpPr>
      <xdr:spPr>
        <a:xfrm>
          <a:off x="1457277" y="4381500"/>
          <a:ext cx="2654766" cy="343940"/>
        </a:xfrm>
        <a:prstGeom prst="rect">
          <a:avLst/>
        </a:prstGeom>
        <a:noFill/>
      </xdr:spPr>
      <xdr:txBody>
        <a:bodyPr wrap="none" lIns="91440" tIns="45720" rIns="91440" bIns="45720">
          <a:spAutoFit/>
        </a:bodyPr>
        <a:lstStyle/>
        <a:p>
          <a:pPr algn="ctr"/>
          <a:r>
            <a:rPr lang="es-ES" sz="1600" b="1" i="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entury Gothic" panose="020B0502020202020204" pitchFamily="34" charset="0"/>
              <a:cs typeface="David" panose="020E0502060401010101" pitchFamily="34" charset="-79"/>
            </a:rPr>
            <a:t>Jefatura de Planificación</a:t>
          </a:r>
        </a:p>
      </xdr:txBody>
    </xdr:sp>
    <xdr:clientData/>
  </xdr:oneCellAnchor>
  <xdr:oneCellAnchor>
    <xdr:from>
      <xdr:col>2</xdr:col>
      <xdr:colOff>209550</xdr:colOff>
      <xdr:row>1</xdr:row>
      <xdr:rowOff>28575</xdr:rowOff>
    </xdr:from>
    <xdr:ext cx="1657350" cy="533399"/>
    <xdr:sp macro="" textlink="">
      <xdr:nvSpPr>
        <xdr:cNvPr id="151" name="3 Rectángulo">
          <a:extLst>
            <a:ext uri="{FF2B5EF4-FFF2-40B4-BE49-F238E27FC236}">
              <a16:creationId xmlns:a16="http://schemas.microsoft.com/office/drawing/2014/main" id="{00000000-0008-0000-1D00-000097000000}"/>
            </a:ext>
          </a:extLst>
        </xdr:cNvPr>
        <xdr:cNvSpPr/>
      </xdr:nvSpPr>
      <xdr:spPr>
        <a:xfrm>
          <a:off x="1581150" y="152400"/>
          <a:ext cx="1657350" cy="533399"/>
        </a:xfrm>
        <a:prstGeom prst="rect">
          <a:avLst/>
        </a:prstGeom>
        <a:effectLst>
          <a:outerShdw blurRad="76200" dist="12700" dir="8100000" sy="-23000" kx="800400" algn="br" rotWithShape="0">
            <a:prstClr val="black">
              <a:alpha val="20000"/>
            </a:prstClr>
          </a:outerShdw>
        </a:effectLst>
      </xdr:spPr>
      <xdr:style>
        <a:lnRef idx="2">
          <a:schemeClr val="accent1"/>
        </a:lnRef>
        <a:fillRef idx="1">
          <a:schemeClr val="lt1"/>
        </a:fillRef>
        <a:effectRef idx="0">
          <a:schemeClr val="accent1"/>
        </a:effectRef>
        <a:fontRef idx="minor">
          <a:schemeClr val="dk1"/>
        </a:fontRef>
      </xdr:style>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INDICADORES </a:t>
          </a:r>
        </a:p>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DE GESTIÓN</a:t>
          </a:r>
        </a:p>
      </xdr:txBody>
    </xdr:sp>
    <xdr:clientData/>
  </xdr:oneCellAnchor>
  <xdr:twoCellAnchor>
    <xdr:from>
      <xdr:col>7</xdr:col>
      <xdr:colOff>165784</xdr:colOff>
      <xdr:row>39</xdr:row>
      <xdr:rowOff>119495</xdr:rowOff>
    </xdr:from>
    <xdr:to>
      <xdr:col>10</xdr:col>
      <xdr:colOff>523875</xdr:colOff>
      <xdr:row>42</xdr:row>
      <xdr:rowOff>84809</xdr:rowOff>
    </xdr:to>
    <xdr:sp macro="" textlink="">
      <xdr:nvSpPr>
        <xdr:cNvPr id="39" name="36 Forma libre">
          <a:hlinkClick xmlns:r="http://schemas.openxmlformats.org/officeDocument/2006/relationships" r:id="rId5"/>
          <a:extLst>
            <a:ext uri="{FF2B5EF4-FFF2-40B4-BE49-F238E27FC236}">
              <a16:creationId xmlns:a16="http://schemas.microsoft.com/office/drawing/2014/main" id="{00000000-0008-0000-1D00-000027000000}"/>
            </a:ext>
          </a:extLst>
        </xdr:cNvPr>
        <xdr:cNvSpPr/>
      </xdr:nvSpPr>
      <xdr:spPr>
        <a:xfrm>
          <a:off x="4966384" y="4824845"/>
          <a:ext cx="2415491" cy="336789"/>
        </a:xfrm>
        <a:custGeom>
          <a:avLst/>
          <a:gdLst>
            <a:gd name="connsiteX0" fmla="*/ 57377 w 344257"/>
            <a:gd name="connsiteY0" fmla="*/ 0 h 3582941"/>
            <a:gd name="connsiteX1" fmla="*/ 286880 w 344257"/>
            <a:gd name="connsiteY1" fmla="*/ 0 h 3582941"/>
            <a:gd name="connsiteX2" fmla="*/ 344257 w 344257"/>
            <a:gd name="connsiteY2" fmla="*/ 57377 h 3582941"/>
            <a:gd name="connsiteX3" fmla="*/ 344257 w 344257"/>
            <a:gd name="connsiteY3" fmla="*/ 3582941 h 3582941"/>
            <a:gd name="connsiteX4" fmla="*/ 344257 w 344257"/>
            <a:gd name="connsiteY4" fmla="*/ 3582941 h 3582941"/>
            <a:gd name="connsiteX5" fmla="*/ 0 w 344257"/>
            <a:gd name="connsiteY5" fmla="*/ 3582941 h 3582941"/>
            <a:gd name="connsiteX6" fmla="*/ 0 w 344257"/>
            <a:gd name="connsiteY6" fmla="*/ 3582941 h 3582941"/>
            <a:gd name="connsiteX7" fmla="*/ 0 w 344257"/>
            <a:gd name="connsiteY7" fmla="*/ 57377 h 3582941"/>
            <a:gd name="connsiteX8" fmla="*/ 57377 w 344257"/>
            <a:gd name="connsiteY8" fmla="*/ 0 h 35829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4257" h="3582941">
              <a:moveTo>
                <a:pt x="344257" y="597169"/>
              </a:moveTo>
              <a:lnTo>
                <a:pt x="344257" y="2985772"/>
              </a:lnTo>
              <a:cubicBezTo>
                <a:pt x="344257" y="3315572"/>
                <a:pt x="341789" y="3582936"/>
                <a:pt x="338744" y="3582936"/>
              </a:cubicBezTo>
              <a:lnTo>
                <a:pt x="0" y="3582936"/>
              </a:lnTo>
              <a:lnTo>
                <a:pt x="0" y="3582936"/>
              </a:lnTo>
              <a:lnTo>
                <a:pt x="0" y="5"/>
              </a:lnTo>
              <a:lnTo>
                <a:pt x="0" y="5"/>
              </a:lnTo>
              <a:lnTo>
                <a:pt x="338744" y="5"/>
              </a:lnTo>
              <a:cubicBezTo>
                <a:pt x="341789" y="5"/>
                <a:pt x="344257" y="267369"/>
                <a:pt x="344257" y="597169"/>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630" rIns="264454" bIns="140632" numCol="1" spcCol="1270" anchor="ctr" anchorCtr="0">
          <a:noAutofit/>
        </a:bodyPr>
        <a:lstStyle/>
        <a:p>
          <a:pPr marL="57150" lvl="1" indent="-57150" algn="l" defTabSz="444500">
            <a:lnSpc>
              <a:spcPct val="90000"/>
            </a:lnSpc>
            <a:spcBef>
              <a:spcPct val="0"/>
            </a:spcBef>
            <a:spcAft>
              <a:spcPct val="15000"/>
            </a:spcAft>
            <a:buChar char="••"/>
          </a:pPr>
          <a:r>
            <a:rPr lang="es-EC" sz="1000" kern="1200" baseline="0"/>
            <a:t>PEC</a:t>
          </a:r>
          <a:endParaRPr lang="es-EC" sz="1000" kern="1200"/>
        </a:p>
      </xdr:txBody>
    </xdr:sp>
    <xdr:clientData/>
  </xdr:twoCellAnchor>
  <xdr:twoCellAnchor>
    <xdr:from>
      <xdr:col>7</xdr:col>
      <xdr:colOff>120464</xdr:colOff>
      <xdr:row>21</xdr:row>
      <xdr:rowOff>103094</xdr:rowOff>
    </xdr:from>
    <xdr:to>
      <xdr:col>10</xdr:col>
      <xdr:colOff>434788</xdr:colOff>
      <xdr:row>24</xdr:row>
      <xdr:rowOff>45944</xdr:rowOff>
    </xdr:to>
    <xdr:sp macro="" textlink="">
      <xdr:nvSpPr>
        <xdr:cNvPr id="50" name="26 Forma libre">
          <a:hlinkClick xmlns:r="http://schemas.openxmlformats.org/officeDocument/2006/relationships" r:id="rId6"/>
          <a:extLst>
            <a:ext uri="{FF2B5EF4-FFF2-40B4-BE49-F238E27FC236}">
              <a16:creationId xmlns:a16="http://schemas.microsoft.com/office/drawing/2014/main" id="{00000000-0008-0000-1D00-000032000000}"/>
            </a:ext>
          </a:extLst>
        </xdr:cNvPr>
        <xdr:cNvSpPr/>
      </xdr:nvSpPr>
      <xdr:spPr>
        <a:xfrm>
          <a:off x="4905376" y="2691653"/>
          <a:ext cx="2365000" cy="312644"/>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NÚMERO DE CONTADORES DE ENERGÍA</a:t>
          </a:r>
        </a:p>
      </xdr:txBody>
    </xdr:sp>
    <xdr:clientData/>
  </xdr:twoCellAnchor>
  <xdr:twoCellAnchor>
    <xdr:from>
      <xdr:col>7</xdr:col>
      <xdr:colOff>112969</xdr:colOff>
      <xdr:row>18</xdr:row>
      <xdr:rowOff>28607</xdr:rowOff>
    </xdr:from>
    <xdr:to>
      <xdr:col>10</xdr:col>
      <xdr:colOff>406213</xdr:colOff>
      <xdr:row>20</xdr:row>
      <xdr:rowOff>113179</xdr:rowOff>
    </xdr:to>
    <xdr:sp macro="" textlink="">
      <xdr:nvSpPr>
        <xdr:cNvPr id="53" name="30 Forma libre">
          <a:hlinkClick xmlns:r="http://schemas.openxmlformats.org/officeDocument/2006/relationships" r:id="rId7"/>
          <a:extLst>
            <a:ext uri="{FF2B5EF4-FFF2-40B4-BE49-F238E27FC236}">
              <a16:creationId xmlns:a16="http://schemas.microsoft.com/office/drawing/2014/main" id="{00000000-0008-0000-1D00-000035000000}"/>
            </a:ext>
          </a:extLst>
        </xdr:cNvPr>
        <xdr:cNvSpPr/>
      </xdr:nvSpPr>
      <xdr:spPr>
        <a:xfrm>
          <a:off x="4897881" y="2247372"/>
          <a:ext cx="2343920" cy="331101"/>
        </a:xfrm>
        <a:custGeom>
          <a:avLst/>
          <a:gdLst>
            <a:gd name="connsiteX0" fmla="*/ 57850 w 347091"/>
            <a:gd name="connsiteY0" fmla="*/ 0 h 3704546"/>
            <a:gd name="connsiteX1" fmla="*/ 289241 w 347091"/>
            <a:gd name="connsiteY1" fmla="*/ 0 h 3704546"/>
            <a:gd name="connsiteX2" fmla="*/ 347091 w 347091"/>
            <a:gd name="connsiteY2" fmla="*/ 57850 h 3704546"/>
            <a:gd name="connsiteX3" fmla="*/ 347091 w 347091"/>
            <a:gd name="connsiteY3" fmla="*/ 3704546 h 3704546"/>
            <a:gd name="connsiteX4" fmla="*/ 347091 w 347091"/>
            <a:gd name="connsiteY4" fmla="*/ 3704546 h 3704546"/>
            <a:gd name="connsiteX5" fmla="*/ 0 w 347091"/>
            <a:gd name="connsiteY5" fmla="*/ 3704546 h 3704546"/>
            <a:gd name="connsiteX6" fmla="*/ 0 w 347091"/>
            <a:gd name="connsiteY6" fmla="*/ 3704546 h 3704546"/>
            <a:gd name="connsiteX7" fmla="*/ 0 w 347091"/>
            <a:gd name="connsiteY7" fmla="*/ 57850 h 3704546"/>
            <a:gd name="connsiteX8" fmla="*/ 57850 w 347091"/>
            <a:gd name="connsiteY8" fmla="*/ 0 h 3704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04546">
              <a:moveTo>
                <a:pt x="347091" y="617444"/>
              </a:moveTo>
              <a:lnTo>
                <a:pt x="347091" y="3087102"/>
              </a:lnTo>
              <a:cubicBezTo>
                <a:pt x="347091" y="3428107"/>
                <a:pt x="344664" y="3704541"/>
                <a:pt x="341671" y="3704541"/>
              </a:cubicBezTo>
              <a:lnTo>
                <a:pt x="0" y="3704541"/>
              </a:lnTo>
              <a:lnTo>
                <a:pt x="0" y="3704541"/>
              </a:lnTo>
              <a:lnTo>
                <a:pt x="0" y="5"/>
              </a:lnTo>
              <a:lnTo>
                <a:pt x="0" y="5"/>
              </a:lnTo>
              <a:lnTo>
                <a:pt x="341671" y="5"/>
              </a:lnTo>
              <a:cubicBezTo>
                <a:pt x="344664" y="5"/>
                <a:pt x="347091" y="276439"/>
                <a:pt x="347091" y="617444"/>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769"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Índice de Satisfacción del Consumidor (ISC).</a:t>
          </a:r>
        </a:p>
      </xdr:txBody>
    </xdr:sp>
    <xdr:clientData/>
  </xdr:twoCellAnchor>
  <xdr:twoCellAnchor>
    <xdr:from>
      <xdr:col>7</xdr:col>
      <xdr:colOff>122144</xdr:colOff>
      <xdr:row>14</xdr:row>
      <xdr:rowOff>79019</xdr:rowOff>
    </xdr:from>
    <xdr:to>
      <xdr:col>10</xdr:col>
      <xdr:colOff>407894</xdr:colOff>
      <xdr:row>17</xdr:row>
      <xdr:rowOff>17369</xdr:rowOff>
    </xdr:to>
    <xdr:sp macro="" textlink="">
      <xdr:nvSpPr>
        <xdr:cNvPr id="55" name="26 Forma libre">
          <a:hlinkClick xmlns:r="http://schemas.openxmlformats.org/officeDocument/2006/relationships" r:id="rId8"/>
          <a:extLst>
            <a:ext uri="{FF2B5EF4-FFF2-40B4-BE49-F238E27FC236}">
              <a16:creationId xmlns:a16="http://schemas.microsoft.com/office/drawing/2014/main" id="{00000000-0008-0000-1D00-000037000000}"/>
            </a:ext>
          </a:extLst>
        </xdr:cNvPr>
        <xdr:cNvSpPr/>
      </xdr:nvSpPr>
      <xdr:spPr>
        <a:xfrm>
          <a:off x="4907056" y="1804725"/>
          <a:ext cx="2336426" cy="308144"/>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PORCENTAJE DE ERRORES EN LA FACTURACIÓN (PEF)</a:t>
          </a:r>
        </a:p>
      </xdr:txBody>
    </xdr:sp>
    <xdr:clientData/>
  </xdr:twoCellAnchor>
  <xdr:twoCellAnchor>
    <xdr:from>
      <xdr:col>6</xdr:col>
      <xdr:colOff>55532</xdr:colOff>
      <xdr:row>14</xdr:row>
      <xdr:rowOff>69251</xdr:rowOff>
    </xdr:from>
    <xdr:to>
      <xdr:col>7</xdr:col>
      <xdr:colOff>59180</xdr:colOff>
      <xdr:row>17</xdr:row>
      <xdr:rowOff>70037</xdr:rowOff>
    </xdr:to>
    <xdr:sp macro="" textlink="">
      <xdr:nvSpPr>
        <xdr:cNvPr id="57" name="27 Forma libre">
          <a:extLst>
            <a:ext uri="{FF2B5EF4-FFF2-40B4-BE49-F238E27FC236}">
              <a16:creationId xmlns:a16="http://schemas.microsoft.com/office/drawing/2014/main" id="{00000000-0008-0000-1D00-000039000000}"/>
            </a:ext>
          </a:extLst>
        </xdr:cNvPr>
        <xdr:cNvSpPr/>
      </xdr:nvSpPr>
      <xdr:spPr>
        <a:xfrm>
          <a:off x="4156885" y="1794957"/>
          <a:ext cx="687207" cy="370580"/>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15</a:t>
          </a:r>
        </a:p>
      </xdr:txBody>
    </xdr:sp>
    <xdr:clientData/>
  </xdr:twoCellAnchor>
  <xdr:twoCellAnchor>
    <xdr:from>
      <xdr:col>7</xdr:col>
      <xdr:colOff>186016</xdr:colOff>
      <xdr:row>4</xdr:row>
      <xdr:rowOff>87967</xdr:rowOff>
    </xdr:from>
    <xdr:to>
      <xdr:col>10</xdr:col>
      <xdr:colOff>481653</xdr:colOff>
      <xdr:row>6</xdr:row>
      <xdr:rowOff>97492</xdr:rowOff>
    </xdr:to>
    <xdr:sp macro="" textlink="">
      <xdr:nvSpPr>
        <xdr:cNvPr id="61" name="26 Forma libre">
          <a:hlinkClick xmlns:r="http://schemas.openxmlformats.org/officeDocument/2006/relationships" r:id="rId9"/>
          <a:extLst>
            <a:ext uri="{FF2B5EF4-FFF2-40B4-BE49-F238E27FC236}">
              <a16:creationId xmlns:a16="http://schemas.microsoft.com/office/drawing/2014/main" id="{00000000-0008-0000-1D00-00003D000000}"/>
            </a:ext>
          </a:extLst>
        </xdr:cNvPr>
        <xdr:cNvSpPr/>
      </xdr:nvSpPr>
      <xdr:spPr>
        <a:xfrm>
          <a:off x="4970928" y="581026"/>
          <a:ext cx="2346313" cy="256054"/>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NÚMERO DE CLIENTES</a:t>
          </a:r>
        </a:p>
      </xdr:txBody>
    </xdr:sp>
    <xdr:clientData/>
  </xdr:twoCellAnchor>
  <xdr:twoCellAnchor>
    <xdr:from>
      <xdr:col>7</xdr:col>
      <xdr:colOff>156259</xdr:colOff>
      <xdr:row>35</xdr:row>
      <xdr:rowOff>119495</xdr:rowOff>
    </xdr:from>
    <xdr:to>
      <xdr:col>10</xdr:col>
      <xdr:colOff>514350</xdr:colOff>
      <xdr:row>38</xdr:row>
      <xdr:rowOff>84809</xdr:rowOff>
    </xdr:to>
    <xdr:sp macro="" textlink="">
      <xdr:nvSpPr>
        <xdr:cNvPr id="34" name="36 Forma libre">
          <a:hlinkClick xmlns:r="http://schemas.openxmlformats.org/officeDocument/2006/relationships" r:id="rId10"/>
          <a:extLst>
            <a:ext uri="{FF2B5EF4-FFF2-40B4-BE49-F238E27FC236}">
              <a16:creationId xmlns:a16="http://schemas.microsoft.com/office/drawing/2014/main" id="{00000000-0008-0000-1D00-000022000000}"/>
            </a:ext>
          </a:extLst>
        </xdr:cNvPr>
        <xdr:cNvSpPr/>
      </xdr:nvSpPr>
      <xdr:spPr>
        <a:xfrm>
          <a:off x="4956859" y="4329545"/>
          <a:ext cx="2415491" cy="336789"/>
        </a:xfrm>
        <a:custGeom>
          <a:avLst/>
          <a:gdLst>
            <a:gd name="connsiteX0" fmla="*/ 57377 w 344257"/>
            <a:gd name="connsiteY0" fmla="*/ 0 h 3582941"/>
            <a:gd name="connsiteX1" fmla="*/ 286880 w 344257"/>
            <a:gd name="connsiteY1" fmla="*/ 0 h 3582941"/>
            <a:gd name="connsiteX2" fmla="*/ 344257 w 344257"/>
            <a:gd name="connsiteY2" fmla="*/ 57377 h 3582941"/>
            <a:gd name="connsiteX3" fmla="*/ 344257 w 344257"/>
            <a:gd name="connsiteY3" fmla="*/ 3582941 h 3582941"/>
            <a:gd name="connsiteX4" fmla="*/ 344257 w 344257"/>
            <a:gd name="connsiteY4" fmla="*/ 3582941 h 3582941"/>
            <a:gd name="connsiteX5" fmla="*/ 0 w 344257"/>
            <a:gd name="connsiteY5" fmla="*/ 3582941 h 3582941"/>
            <a:gd name="connsiteX6" fmla="*/ 0 w 344257"/>
            <a:gd name="connsiteY6" fmla="*/ 3582941 h 3582941"/>
            <a:gd name="connsiteX7" fmla="*/ 0 w 344257"/>
            <a:gd name="connsiteY7" fmla="*/ 57377 h 3582941"/>
            <a:gd name="connsiteX8" fmla="*/ 57377 w 344257"/>
            <a:gd name="connsiteY8" fmla="*/ 0 h 35829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4257" h="3582941">
              <a:moveTo>
                <a:pt x="344257" y="597169"/>
              </a:moveTo>
              <a:lnTo>
                <a:pt x="344257" y="2985772"/>
              </a:lnTo>
              <a:cubicBezTo>
                <a:pt x="344257" y="3315572"/>
                <a:pt x="341789" y="3582936"/>
                <a:pt x="338744" y="3582936"/>
              </a:cubicBezTo>
              <a:lnTo>
                <a:pt x="0" y="3582936"/>
              </a:lnTo>
              <a:lnTo>
                <a:pt x="0" y="3582936"/>
              </a:lnTo>
              <a:lnTo>
                <a:pt x="0" y="5"/>
              </a:lnTo>
              <a:lnTo>
                <a:pt x="0" y="5"/>
              </a:lnTo>
              <a:lnTo>
                <a:pt x="338744" y="5"/>
              </a:lnTo>
              <a:cubicBezTo>
                <a:pt x="341789" y="5"/>
                <a:pt x="344257" y="267369"/>
                <a:pt x="344257" y="597169"/>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630" rIns="264454" bIns="140632" numCol="1" spcCol="1270" anchor="ctr" anchorCtr="0">
          <a:noAutofit/>
        </a:bodyPr>
        <a:lstStyle/>
        <a:p>
          <a:pPr marL="57150" lvl="1" indent="-57150" algn="l" defTabSz="444500">
            <a:lnSpc>
              <a:spcPct val="90000"/>
            </a:lnSpc>
            <a:spcBef>
              <a:spcPct val="0"/>
            </a:spcBef>
            <a:spcAft>
              <a:spcPct val="15000"/>
            </a:spcAft>
            <a:buChar char="••"/>
          </a:pPr>
          <a:r>
            <a:rPr lang="es-EC" sz="1000" kern="1200" baseline="0"/>
            <a:t> RENOVA</a:t>
          </a:r>
          <a:endParaRPr lang="es-EC" sz="1000" kern="1200"/>
        </a:p>
      </xdr:txBody>
    </xdr:sp>
    <xdr:clientData/>
  </xdr:twoCellAnchor>
  <xdr:twoCellAnchor>
    <xdr:from>
      <xdr:col>6</xdr:col>
      <xdr:colOff>152400</xdr:colOff>
      <xdr:row>36</xdr:row>
      <xdr:rowOff>19050</xdr:rowOff>
    </xdr:from>
    <xdr:to>
      <xdr:col>7</xdr:col>
      <xdr:colOff>84689</xdr:colOff>
      <xdr:row>38</xdr:row>
      <xdr:rowOff>118314</xdr:rowOff>
    </xdr:to>
    <xdr:sp macro="" textlink="">
      <xdr:nvSpPr>
        <xdr:cNvPr id="45" name="37 Forma libre">
          <a:extLst>
            <a:ext uri="{FF2B5EF4-FFF2-40B4-BE49-F238E27FC236}">
              <a16:creationId xmlns:a16="http://schemas.microsoft.com/office/drawing/2014/main" id="{00000000-0008-0000-1D00-00002D000000}"/>
            </a:ext>
          </a:extLst>
        </xdr:cNvPr>
        <xdr:cNvSpPr/>
      </xdr:nvSpPr>
      <xdr:spPr>
        <a:xfrm>
          <a:off x="4267200" y="4352925"/>
          <a:ext cx="618089" cy="346914"/>
        </a:xfrm>
        <a:custGeom>
          <a:avLst/>
          <a:gdLst>
            <a:gd name="connsiteX0" fmla="*/ 0 w 768557"/>
            <a:gd name="connsiteY0" fmla="*/ 71722 h 430321"/>
            <a:gd name="connsiteX1" fmla="*/ 71722 w 768557"/>
            <a:gd name="connsiteY1" fmla="*/ 0 h 430321"/>
            <a:gd name="connsiteX2" fmla="*/ 696835 w 768557"/>
            <a:gd name="connsiteY2" fmla="*/ 0 h 430321"/>
            <a:gd name="connsiteX3" fmla="*/ 768557 w 768557"/>
            <a:gd name="connsiteY3" fmla="*/ 71722 h 430321"/>
            <a:gd name="connsiteX4" fmla="*/ 768557 w 768557"/>
            <a:gd name="connsiteY4" fmla="*/ 358599 h 430321"/>
            <a:gd name="connsiteX5" fmla="*/ 696835 w 768557"/>
            <a:gd name="connsiteY5" fmla="*/ 430321 h 430321"/>
            <a:gd name="connsiteX6" fmla="*/ 71722 w 768557"/>
            <a:gd name="connsiteY6" fmla="*/ 430321 h 430321"/>
            <a:gd name="connsiteX7" fmla="*/ 0 w 768557"/>
            <a:gd name="connsiteY7" fmla="*/ 358599 h 430321"/>
            <a:gd name="connsiteX8" fmla="*/ 0 w 768557"/>
            <a:gd name="connsiteY8" fmla="*/ 71722 h 4303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8557" h="430321">
              <a:moveTo>
                <a:pt x="0" y="71722"/>
              </a:moveTo>
              <a:cubicBezTo>
                <a:pt x="0" y="32111"/>
                <a:pt x="32111" y="0"/>
                <a:pt x="71722" y="0"/>
              </a:cubicBezTo>
              <a:lnTo>
                <a:pt x="696835" y="0"/>
              </a:lnTo>
              <a:cubicBezTo>
                <a:pt x="736446" y="0"/>
                <a:pt x="768557" y="32111"/>
                <a:pt x="768557" y="71722"/>
              </a:cubicBezTo>
              <a:lnTo>
                <a:pt x="768557" y="358599"/>
              </a:lnTo>
              <a:cubicBezTo>
                <a:pt x="768557" y="398210"/>
                <a:pt x="736446" y="430321"/>
                <a:pt x="696835" y="430321"/>
              </a:cubicBezTo>
              <a:lnTo>
                <a:pt x="71722" y="430321"/>
              </a:lnTo>
              <a:cubicBezTo>
                <a:pt x="32111" y="430321"/>
                <a:pt x="0" y="398210"/>
                <a:pt x="0" y="358599"/>
              </a:cubicBezTo>
              <a:lnTo>
                <a:pt x="0" y="7172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347" tIns="47677" rIns="74347" bIns="47677" numCol="1" spcCol="1270" anchor="ctr" anchorCtr="0">
          <a:noAutofit/>
        </a:bodyPr>
        <a:lstStyle/>
        <a:p>
          <a:pPr lvl="0" algn="ctr" defTabSz="622300">
            <a:lnSpc>
              <a:spcPct val="90000"/>
            </a:lnSpc>
            <a:spcBef>
              <a:spcPct val="0"/>
            </a:spcBef>
            <a:spcAft>
              <a:spcPct val="35000"/>
            </a:spcAft>
          </a:pPr>
          <a:r>
            <a:rPr lang="es-EC" sz="1400" kern="1200"/>
            <a:t>21</a:t>
          </a:r>
        </a:p>
      </xdr:txBody>
    </xdr:sp>
    <xdr:clientData/>
  </xdr:twoCellAnchor>
  <xdr:twoCellAnchor>
    <xdr:from>
      <xdr:col>7</xdr:col>
      <xdr:colOff>139513</xdr:colOff>
      <xdr:row>25</xdr:row>
      <xdr:rowOff>69476</xdr:rowOff>
    </xdr:from>
    <xdr:to>
      <xdr:col>10</xdr:col>
      <xdr:colOff>453837</xdr:colOff>
      <xdr:row>28</xdr:row>
      <xdr:rowOff>12326</xdr:rowOff>
    </xdr:to>
    <xdr:sp macro="" textlink="">
      <xdr:nvSpPr>
        <xdr:cNvPr id="56" name="26 Forma libre">
          <a:hlinkClick xmlns:r="http://schemas.openxmlformats.org/officeDocument/2006/relationships" r:id="rId11"/>
          <a:extLst>
            <a:ext uri="{FF2B5EF4-FFF2-40B4-BE49-F238E27FC236}">
              <a16:creationId xmlns:a16="http://schemas.microsoft.com/office/drawing/2014/main" id="{00000000-0008-0000-1D00-000038000000}"/>
            </a:ext>
          </a:extLst>
        </xdr:cNvPr>
        <xdr:cNvSpPr/>
      </xdr:nvSpPr>
      <xdr:spPr>
        <a:xfrm>
          <a:off x="4924425" y="3151094"/>
          <a:ext cx="2365000" cy="312644"/>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marR="0" lvl="1" indent="-57150" algn="l" defTabSz="444500" eaLnBrk="1" fontAlgn="auto" latinLnBrk="0" hangingPunct="1">
            <a:lnSpc>
              <a:spcPct val="90000"/>
            </a:lnSpc>
            <a:spcBef>
              <a:spcPct val="0"/>
            </a:spcBef>
            <a:spcAft>
              <a:spcPct val="15000"/>
            </a:spcAft>
            <a:buClrTx/>
            <a:buSzTx/>
            <a:buFontTx/>
            <a:buChar char="••"/>
            <a:tabLst/>
            <a:defRPr/>
          </a:pPr>
          <a:r>
            <a:rPr lang="es-EC" sz="1100">
              <a:solidFill>
                <a:schemeClr val="dk1"/>
              </a:solidFill>
              <a:effectLst/>
              <a:latin typeface="+mn-lt"/>
              <a:ea typeface="+mn-ea"/>
              <a:cs typeface="+mn-cs"/>
            </a:rPr>
            <a:t>CONTADORES DE ENERGÍA INSTALADOS, RESIDENCIALES</a:t>
          </a:r>
        </a:p>
      </xdr:txBody>
    </xdr:sp>
    <xdr:clientData/>
  </xdr:twoCellAnchor>
  <xdr:twoCellAnchor>
    <xdr:from>
      <xdr:col>6</xdr:col>
      <xdr:colOff>68356</xdr:colOff>
      <xdr:row>25</xdr:row>
      <xdr:rowOff>94129</xdr:rowOff>
    </xdr:from>
    <xdr:to>
      <xdr:col>7</xdr:col>
      <xdr:colOff>72004</xdr:colOff>
      <xdr:row>28</xdr:row>
      <xdr:rowOff>94915</xdr:rowOff>
    </xdr:to>
    <xdr:sp macro="" textlink="">
      <xdr:nvSpPr>
        <xdr:cNvPr id="58" name="27 Forma libre">
          <a:extLst>
            <a:ext uri="{FF2B5EF4-FFF2-40B4-BE49-F238E27FC236}">
              <a16:creationId xmlns:a16="http://schemas.microsoft.com/office/drawing/2014/main" id="{00000000-0008-0000-1D00-00003A000000}"/>
            </a:ext>
          </a:extLst>
        </xdr:cNvPr>
        <xdr:cNvSpPr/>
      </xdr:nvSpPr>
      <xdr:spPr>
        <a:xfrm>
          <a:off x="4169709" y="3175747"/>
          <a:ext cx="687207" cy="370580"/>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23</a:t>
          </a:r>
        </a:p>
      </xdr:txBody>
    </xdr:sp>
    <xdr:clientData/>
  </xdr:twoCellAnchor>
  <xdr:twoCellAnchor>
    <xdr:from>
      <xdr:col>1</xdr:col>
      <xdr:colOff>409575</xdr:colOff>
      <xdr:row>7</xdr:row>
      <xdr:rowOff>19051</xdr:rowOff>
    </xdr:from>
    <xdr:to>
      <xdr:col>5</xdr:col>
      <xdr:colOff>304800</xdr:colOff>
      <xdr:row>11</xdr:row>
      <xdr:rowOff>9525</xdr:rowOff>
    </xdr:to>
    <xdr:sp macro="" textlink="">
      <xdr:nvSpPr>
        <xdr:cNvPr id="43" name="5 Rectángulo">
          <a:hlinkClick xmlns:r="http://schemas.openxmlformats.org/officeDocument/2006/relationships" r:id="rId12"/>
          <a:extLst>
            <a:ext uri="{FF2B5EF4-FFF2-40B4-BE49-F238E27FC236}">
              <a16:creationId xmlns:a16="http://schemas.microsoft.com/office/drawing/2014/main" id="{00000000-0008-0000-1D00-00002B000000}"/>
            </a:ext>
          </a:extLst>
        </xdr:cNvPr>
        <xdr:cNvSpPr/>
      </xdr:nvSpPr>
      <xdr:spPr>
        <a:xfrm>
          <a:off x="1095375" y="885826"/>
          <a:ext cx="2638425" cy="4857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CIUDADANIA</a:t>
          </a:r>
        </a:p>
      </xdr:txBody>
    </xdr:sp>
    <xdr:clientData/>
  </xdr:twoCellAnchor>
  <xdr:twoCellAnchor>
    <xdr:from>
      <xdr:col>7</xdr:col>
      <xdr:colOff>205628</xdr:colOff>
      <xdr:row>7</xdr:row>
      <xdr:rowOff>67236</xdr:rowOff>
    </xdr:from>
    <xdr:to>
      <xdr:col>10</xdr:col>
      <xdr:colOff>501265</xdr:colOff>
      <xdr:row>11</xdr:row>
      <xdr:rowOff>22411</xdr:rowOff>
    </xdr:to>
    <xdr:sp macro="" textlink="">
      <xdr:nvSpPr>
        <xdr:cNvPr id="41" name="26 Forma libre">
          <a:hlinkClick xmlns:r="http://schemas.openxmlformats.org/officeDocument/2006/relationships" r:id="rId13"/>
          <a:extLst>
            <a:ext uri="{FF2B5EF4-FFF2-40B4-BE49-F238E27FC236}">
              <a16:creationId xmlns:a16="http://schemas.microsoft.com/office/drawing/2014/main" id="{00000000-0008-0000-1D00-000029000000}"/>
            </a:ext>
          </a:extLst>
        </xdr:cNvPr>
        <xdr:cNvSpPr/>
      </xdr:nvSpPr>
      <xdr:spPr>
        <a:xfrm>
          <a:off x="4990540" y="930089"/>
          <a:ext cx="2346313" cy="448234"/>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CLIENTES ATENDIDOS POR TRABAJADOR (Servicio de Electricidad)</a:t>
          </a:r>
        </a:p>
      </xdr:txBody>
    </xdr:sp>
    <xdr:clientData/>
  </xdr:twoCellAnchor>
  <xdr:twoCellAnchor>
    <xdr:from>
      <xdr:col>6</xdr:col>
      <xdr:colOff>78441</xdr:colOff>
      <xdr:row>4</xdr:row>
      <xdr:rowOff>56030</xdr:rowOff>
    </xdr:from>
    <xdr:to>
      <xdr:col>7</xdr:col>
      <xdr:colOff>82089</xdr:colOff>
      <xdr:row>7</xdr:row>
      <xdr:rowOff>56816</xdr:rowOff>
    </xdr:to>
    <xdr:sp macro="" textlink="">
      <xdr:nvSpPr>
        <xdr:cNvPr id="54" name="27 Forma libre">
          <a:extLst>
            <a:ext uri="{FF2B5EF4-FFF2-40B4-BE49-F238E27FC236}">
              <a16:creationId xmlns:a16="http://schemas.microsoft.com/office/drawing/2014/main" id="{00000000-0008-0000-1D00-000036000000}"/>
            </a:ext>
          </a:extLst>
        </xdr:cNvPr>
        <xdr:cNvSpPr/>
      </xdr:nvSpPr>
      <xdr:spPr>
        <a:xfrm>
          <a:off x="4179794" y="549089"/>
          <a:ext cx="687207" cy="370580"/>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13</a:t>
          </a:r>
        </a:p>
      </xdr:txBody>
    </xdr:sp>
    <xdr:clientData/>
  </xdr:twoCellAnchor>
  <xdr:twoCellAnchor>
    <xdr:from>
      <xdr:col>6</xdr:col>
      <xdr:colOff>93569</xdr:colOff>
      <xdr:row>28</xdr:row>
      <xdr:rowOff>112619</xdr:rowOff>
    </xdr:from>
    <xdr:to>
      <xdr:col>7</xdr:col>
      <xdr:colOff>97217</xdr:colOff>
      <xdr:row>31</xdr:row>
      <xdr:rowOff>113405</xdr:rowOff>
    </xdr:to>
    <xdr:sp macro="" textlink="">
      <xdr:nvSpPr>
        <xdr:cNvPr id="40" name="27 Forma libre">
          <a:extLst>
            <a:ext uri="{FF2B5EF4-FFF2-40B4-BE49-F238E27FC236}">
              <a16:creationId xmlns:a16="http://schemas.microsoft.com/office/drawing/2014/main" id="{00000000-0008-0000-1D00-000028000000}"/>
            </a:ext>
          </a:extLst>
        </xdr:cNvPr>
        <xdr:cNvSpPr/>
      </xdr:nvSpPr>
      <xdr:spPr>
        <a:xfrm>
          <a:off x="4194922" y="3564031"/>
          <a:ext cx="687207" cy="370580"/>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27</a:t>
          </a:r>
        </a:p>
      </xdr:txBody>
    </xdr:sp>
    <xdr:clientData/>
  </xdr:twoCellAnchor>
  <xdr:twoCellAnchor>
    <xdr:from>
      <xdr:col>7</xdr:col>
      <xdr:colOff>156882</xdr:colOff>
      <xdr:row>29</xdr:row>
      <xdr:rowOff>0</xdr:rowOff>
    </xdr:from>
    <xdr:to>
      <xdr:col>10</xdr:col>
      <xdr:colOff>414618</xdr:colOff>
      <xdr:row>31</xdr:row>
      <xdr:rowOff>67235</xdr:rowOff>
    </xdr:to>
    <xdr:sp macro="" textlink="">
      <xdr:nvSpPr>
        <xdr:cNvPr id="2" name="1 Redondear rectángulo de esquina sencilla">
          <a:hlinkClick xmlns:r="http://schemas.openxmlformats.org/officeDocument/2006/relationships" r:id="rId14"/>
          <a:extLst>
            <a:ext uri="{FF2B5EF4-FFF2-40B4-BE49-F238E27FC236}">
              <a16:creationId xmlns:a16="http://schemas.microsoft.com/office/drawing/2014/main" id="{00000000-0008-0000-1D00-000002000000}"/>
            </a:ext>
          </a:extLst>
        </xdr:cNvPr>
        <xdr:cNvSpPr/>
      </xdr:nvSpPr>
      <xdr:spPr>
        <a:xfrm>
          <a:off x="4941794" y="3574676"/>
          <a:ext cx="2308412" cy="313765"/>
        </a:xfrm>
        <a:prstGeom prst="round1Rect">
          <a:avLst/>
        </a:pr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solidFill>
                <a:schemeClr val="dk1"/>
              </a:solidFill>
              <a:latin typeface="+mn-lt"/>
              <a:ea typeface="+mn-ea"/>
              <a:cs typeface="+mn-cs"/>
            </a:rPr>
            <a:t>ACTIVIDAES DE RESPONSABILIDAD SOCIAL</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3175</xdr:colOff>
      <xdr:row>0</xdr:row>
      <xdr:rowOff>114300</xdr:rowOff>
    </xdr:from>
    <xdr:to>
      <xdr:col>6</xdr:col>
      <xdr:colOff>0</xdr:colOff>
      <xdr:row>43</xdr:row>
      <xdr:rowOff>0</xdr:rowOff>
    </xdr:to>
    <xdr:sp macro="" textlink="">
      <xdr:nvSpPr>
        <xdr:cNvPr id="2" name="1 Rectángulo">
          <a:extLst>
            <a:ext uri="{FF2B5EF4-FFF2-40B4-BE49-F238E27FC236}">
              <a16:creationId xmlns:a16="http://schemas.microsoft.com/office/drawing/2014/main" id="{00000000-0008-0000-1E00-000002000000}"/>
            </a:ext>
          </a:extLst>
        </xdr:cNvPr>
        <xdr:cNvSpPr/>
      </xdr:nvSpPr>
      <xdr:spPr>
        <a:xfrm>
          <a:off x="685800" y="114300"/>
          <a:ext cx="3409950" cy="5346700"/>
        </a:xfrm>
        <a:prstGeom prst="rect">
          <a:avLst/>
        </a:prstGeom>
        <a:solidFill>
          <a:schemeClr val="bg1"/>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s-EC" sz="1100"/>
        </a:p>
      </xdr:txBody>
    </xdr:sp>
    <xdr:clientData/>
  </xdr:twoCellAnchor>
  <xdr:twoCellAnchor>
    <xdr:from>
      <xdr:col>6</xdr:col>
      <xdr:colOff>0</xdr:colOff>
      <xdr:row>0</xdr:row>
      <xdr:rowOff>114301</xdr:rowOff>
    </xdr:from>
    <xdr:to>
      <xdr:col>11</xdr:col>
      <xdr:colOff>0</xdr:colOff>
      <xdr:row>42</xdr:row>
      <xdr:rowOff>114301</xdr:rowOff>
    </xdr:to>
    <xdr:sp macro="" textlink="">
      <xdr:nvSpPr>
        <xdr:cNvPr id="3" name="2 Rectángulo">
          <a:extLst>
            <a:ext uri="{FF2B5EF4-FFF2-40B4-BE49-F238E27FC236}">
              <a16:creationId xmlns:a16="http://schemas.microsoft.com/office/drawing/2014/main" id="{00000000-0008-0000-1E00-000003000000}"/>
            </a:ext>
          </a:extLst>
        </xdr:cNvPr>
        <xdr:cNvSpPr/>
      </xdr:nvSpPr>
      <xdr:spPr>
        <a:xfrm>
          <a:off x="4114800" y="114301"/>
          <a:ext cx="3429000" cy="5200650"/>
        </a:xfrm>
        <a:prstGeom prst="rect">
          <a:avLst/>
        </a:prstGeom>
        <a:solidFill>
          <a:sysClr val="window" lastClr="FFFFFF"/>
        </a:solid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0</xdr:col>
      <xdr:colOff>714376</xdr:colOff>
      <xdr:row>0</xdr:row>
      <xdr:rowOff>114300</xdr:rowOff>
    </xdr:from>
    <xdr:to>
      <xdr:col>2</xdr:col>
      <xdr:colOff>152400</xdr:colOff>
      <xdr:row>6</xdr:row>
      <xdr:rowOff>9525</xdr:rowOff>
    </xdr:to>
    <xdr:sp macro="" textlink="">
      <xdr:nvSpPr>
        <xdr:cNvPr id="6" name="5 Rectángulo">
          <a:extLst>
            <a:ext uri="{FF2B5EF4-FFF2-40B4-BE49-F238E27FC236}">
              <a16:creationId xmlns:a16="http://schemas.microsoft.com/office/drawing/2014/main" id="{00000000-0008-0000-1E00-000006000000}"/>
            </a:ext>
          </a:extLst>
        </xdr:cNvPr>
        <xdr:cNvSpPr/>
      </xdr:nvSpPr>
      <xdr:spPr>
        <a:xfrm>
          <a:off x="7143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4</xdr:col>
      <xdr:colOff>561976</xdr:colOff>
      <xdr:row>0</xdr:row>
      <xdr:rowOff>114300</xdr:rowOff>
    </xdr:from>
    <xdr:to>
      <xdr:col>6</xdr:col>
      <xdr:colOff>0</xdr:colOff>
      <xdr:row>6</xdr:row>
      <xdr:rowOff>9525</xdr:rowOff>
    </xdr:to>
    <xdr:sp macro="" textlink="">
      <xdr:nvSpPr>
        <xdr:cNvPr id="7" name="6 Rectángulo">
          <a:extLst>
            <a:ext uri="{FF2B5EF4-FFF2-40B4-BE49-F238E27FC236}">
              <a16:creationId xmlns:a16="http://schemas.microsoft.com/office/drawing/2014/main" id="{00000000-0008-0000-1E00-000007000000}"/>
            </a:ext>
          </a:extLst>
        </xdr:cNvPr>
        <xdr:cNvSpPr/>
      </xdr:nvSpPr>
      <xdr:spPr>
        <a:xfrm>
          <a:off x="36099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2</xdr:col>
      <xdr:colOff>171451</xdr:colOff>
      <xdr:row>0</xdr:row>
      <xdr:rowOff>114300</xdr:rowOff>
    </xdr:from>
    <xdr:to>
      <xdr:col>4</xdr:col>
      <xdr:colOff>542925</xdr:colOff>
      <xdr:row>6</xdr:row>
      <xdr:rowOff>9525</xdr:rowOff>
    </xdr:to>
    <xdr:sp macro="" textlink="">
      <xdr:nvSpPr>
        <xdr:cNvPr id="8" name="7 Rectángulo">
          <a:extLst>
            <a:ext uri="{FF2B5EF4-FFF2-40B4-BE49-F238E27FC236}">
              <a16:creationId xmlns:a16="http://schemas.microsoft.com/office/drawing/2014/main" id="{00000000-0008-0000-1E00-000008000000}"/>
            </a:ext>
          </a:extLst>
        </xdr:cNvPr>
        <xdr:cNvSpPr/>
      </xdr:nvSpPr>
      <xdr:spPr>
        <a:xfrm>
          <a:off x="1695451" y="114300"/>
          <a:ext cx="189547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6</xdr:col>
      <xdr:colOff>85725</xdr:colOff>
      <xdr:row>3</xdr:row>
      <xdr:rowOff>19050</xdr:rowOff>
    </xdr:from>
    <xdr:to>
      <xdr:col>10</xdr:col>
      <xdr:colOff>600075</xdr:colOff>
      <xdr:row>5</xdr:row>
      <xdr:rowOff>19050</xdr:rowOff>
    </xdr:to>
    <xdr:sp macro="" textlink="">
      <xdr:nvSpPr>
        <xdr:cNvPr id="17" name="40 Rectángulo">
          <a:extLst>
            <a:ext uri="{FF2B5EF4-FFF2-40B4-BE49-F238E27FC236}">
              <a16:creationId xmlns:a16="http://schemas.microsoft.com/office/drawing/2014/main" id="{00000000-0008-0000-1E00-000011000000}"/>
            </a:ext>
          </a:extLst>
        </xdr:cNvPr>
        <xdr:cNvSpPr/>
      </xdr:nvSpPr>
      <xdr:spPr>
        <a:xfrm>
          <a:off x="4200525" y="390525"/>
          <a:ext cx="325755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EC" sz="1100">
              <a:solidFill>
                <a:schemeClr val="lt1"/>
              </a:solidFill>
              <a:effectLst/>
              <a:latin typeface="+mn-lt"/>
              <a:ea typeface="+mn-ea"/>
              <a:cs typeface="+mn-cs"/>
            </a:rPr>
            <a:t>GESTIÓN FINANCIERA</a:t>
          </a:r>
        </a:p>
      </xdr:txBody>
    </xdr:sp>
    <xdr:clientData/>
  </xdr:twoCellAnchor>
  <xdr:oneCellAnchor>
    <xdr:from>
      <xdr:col>1</xdr:col>
      <xdr:colOff>228601</xdr:colOff>
      <xdr:row>24</xdr:row>
      <xdr:rowOff>47367</xdr:rowOff>
    </xdr:from>
    <xdr:ext cx="3314699" cy="1035552"/>
    <xdr:sp macro="" textlink="">
      <xdr:nvSpPr>
        <xdr:cNvPr id="58" name="3 Rectángulo">
          <a:extLst>
            <a:ext uri="{FF2B5EF4-FFF2-40B4-BE49-F238E27FC236}">
              <a16:creationId xmlns:a16="http://schemas.microsoft.com/office/drawing/2014/main" id="{00000000-0008-0000-1E00-00003A000000}"/>
            </a:ext>
          </a:extLst>
        </xdr:cNvPr>
        <xdr:cNvSpPr/>
      </xdr:nvSpPr>
      <xdr:spPr>
        <a:xfrm>
          <a:off x="914401" y="3019167"/>
          <a:ext cx="3314699" cy="1035552"/>
        </a:xfrm>
        <a:prstGeom prst="rect">
          <a:avLst/>
        </a:prstGeom>
        <a:noFill/>
      </xdr:spPr>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ELECGALAPAGOS</a:t>
          </a:r>
        </a:p>
      </xdr:txBody>
    </xdr:sp>
    <xdr:clientData/>
  </xdr:oneCellAnchor>
  <xdr:twoCellAnchor>
    <xdr:from>
      <xdr:col>4</xdr:col>
      <xdr:colOff>600076</xdr:colOff>
      <xdr:row>1</xdr:row>
      <xdr:rowOff>104775</xdr:rowOff>
    </xdr:from>
    <xdr:to>
      <xdr:col>5</xdr:col>
      <xdr:colOff>622214</xdr:colOff>
      <xdr:row>5</xdr:row>
      <xdr:rowOff>63744</xdr:rowOff>
    </xdr:to>
    <xdr:pic>
      <xdr:nvPicPr>
        <xdr:cNvPr id="60" name="21 Imagen" descr="Disposición nuevo logo CENTROSUR">
          <a:extLst>
            <a:ext uri="{FF2B5EF4-FFF2-40B4-BE49-F238E27FC236}">
              <a16:creationId xmlns:a16="http://schemas.microsoft.com/office/drawing/2014/main" id="{00000000-0008-0000-1E00-00003C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36" t="2092" r="49688" b="4549"/>
        <a:stretch/>
      </xdr:blipFill>
      <xdr:spPr bwMode="auto">
        <a:xfrm>
          <a:off x="3343276" y="228600"/>
          <a:ext cx="707938" cy="45426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476254</xdr:colOff>
      <xdr:row>14</xdr:row>
      <xdr:rowOff>111369</xdr:rowOff>
    </xdr:from>
    <xdr:to>
      <xdr:col>4</xdr:col>
      <xdr:colOff>590550</xdr:colOff>
      <xdr:row>21</xdr:row>
      <xdr:rowOff>54219</xdr:rowOff>
    </xdr:to>
    <xdr:pic>
      <xdr:nvPicPr>
        <xdr:cNvPr id="62" name="Imagen 61" descr="C:\Users\SAT\Pictures\EEG.jpg">
          <a:extLst>
            <a:ext uri="{FF2B5EF4-FFF2-40B4-BE49-F238E27FC236}">
              <a16:creationId xmlns:a16="http://schemas.microsoft.com/office/drawing/2014/main" id="{00000000-0008-0000-1E00-00003E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7854" y="1844919"/>
          <a:ext cx="1485896" cy="809625"/>
        </a:xfrm>
        <a:prstGeom prst="rect">
          <a:avLst/>
        </a:prstGeom>
        <a:noFill/>
        <a:ln>
          <a:noFill/>
        </a:ln>
      </xdr:spPr>
    </xdr:pic>
    <xdr:clientData/>
  </xdr:twoCellAnchor>
  <xdr:twoCellAnchor editAs="oneCell">
    <xdr:from>
      <xdr:col>1</xdr:col>
      <xdr:colOff>34925</xdr:colOff>
      <xdr:row>1</xdr:row>
      <xdr:rowOff>79619</xdr:rowOff>
    </xdr:from>
    <xdr:to>
      <xdr:col>2</xdr:col>
      <xdr:colOff>120650</xdr:colOff>
      <xdr:row>5</xdr:row>
      <xdr:rowOff>70094</xdr:rowOff>
    </xdr:to>
    <xdr:pic>
      <xdr:nvPicPr>
        <xdr:cNvPr id="63" name="Imagen 62" descr="C:\Users\SAT\Pictures\EEG.jpg">
          <a:extLst>
            <a:ext uri="{FF2B5EF4-FFF2-40B4-BE49-F238E27FC236}">
              <a16:creationId xmlns:a16="http://schemas.microsoft.com/office/drawing/2014/main" id="{00000000-0008-0000-1E00-00003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550" y="206619"/>
          <a:ext cx="768350" cy="498475"/>
        </a:xfrm>
        <a:prstGeom prst="rect">
          <a:avLst/>
        </a:prstGeom>
        <a:noFill/>
        <a:ln>
          <a:noFill/>
        </a:ln>
      </xdr:spPr>
    </xdr:pic>
    <xdr:clientData/>
  </xdr:twoCellAnchor>
  <xdr:twoCellAnchor>
    <xdr:from>
      <xdr:col>11</xdr:col>
      <xdr:colOff>238125</xdr:colOff>
      <xdr:row>1</xdr:row>
      <xdr:rowOff>9525</xdr:rowOff>
    </xdr:from>
    <xdr:to>
      <xdr:col>11</xdr:col>
      <xdr:colOff>571500</xdr:colOff>
      <xdr:row>3</xdr:row>
      <xdr:rowOff>38100</xdr:rowOff>
    </xdr:to>
    <xdr:grpSp>
      <xdr:nvGrpSpPr>
        <xdr:cNvPr id="33" name="16 Grupo">
          <a:hlinkClick xmlns:r="http://schemas.openxmlformats.org/officeDocument/2006/relationships" r:id="rId4"/>
          <a:extLst>
            <a:ext uri="{FF2B5EF4-FFF2-40B4-BE49-F238E27FC236}">
              <a16:creationId xmlns:a16="http://schemas.microsoft.com/office/drawing/2014/main" id="{00000000-0008-0000-1E00-000021000000}"/>
            </a:ext>
          </a:extLst>
        </xdr:cNvPr>
        <xdr:cNvGrpSpPr/>
      </xdr:nvGrpSpPr>
      <xdr:grpSpPr>
        <a:xfrm>
          <a:off x="7747000" y="136525"/>
          <a:ext cx="333375" cy="282575"/>
          <a:chOff x="9791700" y="781050"/>
          <a:chExt cx="390525" cy="381000"/>
        </a:xfrm>
      </xdr:grpSpPr>
      <xdr:sp macro="" textlink="">
        <xdr:nvSpPr>
          <xdr:cNvPr id="35" name="7 Elipse">
            <a:extLst>
              <a:ext uri="{FF2B5EF4-FFF2-40B4-BE49-F238E27FC236}">
                <a16:creationId xmlns:a16="http://schemas.microsoft.com/office/drawing/2014/main" id="{00000000-0008-0000-1E00-000023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37" name="14 Flecha derecha">
            <a:extLst>
              <a:ext uri="{FF2B5EF4-FFF2-40B4-BE49-F238E27FC236}">
                <a16:creationId xmlns:a16="http://schemas.microsoft.com/office/drawing/2014/main" id="{00000000-0008-0000-1E00-00002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6</xdr:col>
      <xdr:colOff>133350</xdr:colOff>
      <xdr:row>25</xdr:row>
      <xdr:rowOff>57150</xdr:rowOff>
    </xdr:from>
    <xdr:to>
      <xdr:col>6</xdr:col>
      <xdr:colOff>676275</xdr:colOff>
      <xdr:row>27</xdr:row>
      <xdr:rowOff>95251</xdr:rowOff>
    </xdr:to>
    <xdr:sp macro="" textlink="">
      <xdr:nvSpPr>
        <xdr:cNvPr id="43" name="27 Forma libre">
          <a:extLst>
            <a:ext uri="{FF2B5EF4-FFF2-40B4-BE49-F238E27FC236}">
              <a16:creationId xmlns:a16="http://schemas.microsoft.com/office/drawing/2014/main" id="{00000000-0008-0000-1E00-00002B000000}"/>
            </a:ext>
          </a:extLst>
        </xdr:cNvPr>
        <xdr:cNvSpPr/>
      </xdr:nvSpPr>
      <xdr:spPr>
        <a:xfrm>
          <a:off x="4248150" y="3152775"/>
          <a:ext cx="542925" cy="285751"/>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6</a:t>
          </a:r>
        </a:p>
      </xdr:txBody>
    </xdr:sp>
    <xdr:clientData/>
  </xdr:twoCellAnchor>
  <xdr:twoCellAnchor>
    <xdr:from>
      <xdr:col>6</xdr:col>
      <xdr:colOff>142876</xdr:colOff>
      <xdr:row>12</xdr:row>
      <xdr:rowOff>114301</xdr:rowOff>
    </xdr:from>
    <xdr:to>
      <xdr:col>6</xdr:col>
      <xdr:colOff>647700</xdr:colOff>
      <xdr:row>14</xdr:row>
      <xdr:rowOff>114301</xdr:rowOff>
    </xdr:to>
    <xdr:sp macro="" textlink="">
      <xdr:nvSpPr>
        <xdr:cNvPr id="44" name="27 Forma libre">
          <a:extLst>
            <a:ext uri="{FF2B5EF4-FFF2-40B4-BE49-F238E27FC236}">
              <a16:creationId xmlns:a16="http://schemas.microsoft.com/office/drawing/2014/main" id="{00000000-0008-0000-1E00-00002C000000}"/>
            </a:ext>
          </a:extLst>
        </xdr:cNvPr>
        <xdr:cNvSpPr/>
      </xdr:nvSpPr>
      <xdr:spPr>
        <a:xfrm>
          <a:off x="4257676" y="1600201"/>
          <a:ext cx="504824" cy="247650"/>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17</a:t>
          </a:r>
        </a:p>
      </xdr:txBody>
    </xdr:sp>
    <xdr:clientData/>
  </xdr:twoCellAnchor>
  <xdr:oneCellAnchor>
    <xdr:from>
      <xdr:col>2</xdr:col>
      <xdr:colOff>209550</xdr:colOff>
      <xdr:row>1</xdr:row>
      <xdr:rowOff>28575</xdr:rowOff>
    </xdr:from>
    <xdr:ext cx="1657350" cy="533399"/>
    <xdr:sp macro="" textlink="">
      <xdr:nvSpPr>
        <xdr:cNvPr id="50" name="3 Rectángulo">
          <a:extLst>
            <a:ext uri="{FF2B5EF4-FFF2-40B4-BE49-F238E27FC236}">
              <a16:creationId xmlns:a16="http://schemas.microsoft.com/office/drawing/2014/main" id="{00000000-0008-0000-1E00-000032000000}"/>
            </a:ext>
          </a:extLst>
        </xdr:cNvPr>
        <xdr:cNvSpPr/>
      </xdr:nvSpPr>
      <xdr:spPr>
        <a:xfrm>
          <a:off x="1581150" y="152400"/>
          <a:ext cx="1657350" cy="533399"/>
        </a:xfrm>
        <a:prstGeom prst="rect">
          <a:avLst/>
        </a:prstGeom>
        <a:effectLst>
          <a:outerShdw blurRad="76200" dist="12700" dir="8100000" sy="-23000" kx="800400" algn="br" rotWithShape="0">
            <a:prstClr val="black">
              <a:alpha val="20000"/>
            </a:prstClr>
          </a:outerShdw>
        </a:effectLst>
      </xdr:spPr>
      <xdr:style>
        <a:lnRef idx="2">
          <a:schemeClr val="accent1"/>
        </a:lnRef>
        <a:fillRef idx="1">
          <a:schemeClr val="lt1"/>
        </a:fillRef>
        <a:effectRef idx="0">
          <a:schemeClr val="accent1"/>
        </a:effectRef>
        <a:fontRef idx="minor">
          <a:schemeClr val="dk1"/>
        </a:fontRef>
      </xdr:style>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INDICADORES </a:t>
          </a:r>
        </a:p>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DE GESTIÓN</a:t>
          </a:r>
        </a:p>
      </xdr:txBody>
    </xdr:sp>
    <xdr:clientData/>
  </xdr:oneCellAnchor>
  <xdr:twoCellAnchor>
    <xdr:from>
      <xdr:col>7</xdr:col>
      <xdr:colOff>163955</xdr:colOff>
      <xdr:row>25</xdr:row>
      <xdr:rowOff>23551</xdr:rowOff>
    </xdr:from>
    <xdr:to>
      <xdr:col>10</xdr:col>
      <xdr:colOff>495300</xdr:colOff>
      <xdr:row>28</xdr:row>
      <xdr:rowOff>2281</xdr:rowOff>
    </xdr:to>
    <xdr:sp macro="" textlink="">
      <xdr:nvSpPr>
        <xdr:cNvPr id="66" name="28 Forma libre">
          <a:hlinkClick xmlns:r="http://schemas.openxmlformats.org/officeDocument/2006/relationships" r:id="rId5"/>
          <a:extLst>
            <a:ext uri="{FF2B5EF4-FFF2-40B4-BE49-F238E27FC236}">
              <a16:creationId xmlns:a16="http://schemas.microsoft.com/office/drawing/2014/main" id="{00000000-0008-0000-1E00-000042000000}"/>
            </a:ext>
          </a:extLst>
        </xdr:cNvPr>
        <xdr:cNvSpPr/>
      </xdr:nvSpPr>
      <xdr:spPr>
        <a:xfrm>
          <a:off x="4964555" y="3119176"/>
          <a:ext cx="2388745" cy="350205"/>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PORCENTAJE DE RECAUDACIÓN POR VENTA DE ENERGÍA</a:t>
          </a:r>
        </a:p>
      </xdr:txBody>
    </xdr:sp>
    <xdr:clientData/>
  </xdr:twoCellAnchor>
  <xdr:twoCellAnchor>
    <xdr:from>
      <xdr:col>7</xdr:col>
      <xdr:colOff>175098</xdr:colOff>
      <xdr:row>35</xdr:row>
      <xdr:rowOff>51442</xdr:rowOff>
    </xdr:from>
    <xdr:to>
      <xdr:col>10</xdr:col>
      <xdr:colOff>485775</xdr:colOff>
      <xdr:row>38</xdr:row>
      <xdr:rowOff>104775</xdr:rowOff>
    </xdr:to>
    <xdr:sp macro="" textlink="">
      <xdr:nvSpPr>
        <xdr:cNvPr id="91" name="28 Forma libre">
          <a:hlinkClick xmlns:r="http://schemas.openxmlformats.org/officeDocument/2006/relationships" r:id="rId6"/>
          <a:extLst>
            <a:ext uri="{FF2B5EF4-FFF2-40B4-BE49-F238E27FC236}">
              <a16:creationId xmlns:a16="http://schemas.microsoft.com/office/drawing/2014/main" id="{00000000-0008-0000-1E00-00005B000000}"/>
            </a:ext>
          </a:extLst>
        </xdr:cNvPr>
        <xdr:cNvSpPr/>
      </xdr:nvSpPr>
      <xdr:spPr>
        <a:xfrm>
          <a:off x="4975698" y="4385317"/>
          <a:ext cx="2368077" cy="424808"/>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r>
            <a:rPr lang="es-MX" sz="900">
              <a:solidFill>
                <a:schemeClr val="dk1">
                  <a:hueOff val="0"/>
                  <a:satOff val="0"/>
                  <a:lumOff val="0"/>
                  <a:alphaOff val="0"/>
                </a:schemeClr>
              </a:solidFill>
              <a:effectLst/>
              <a:latin typeface="+mn-lt"/>
              <a:ea typeface="+mn-ea"/>
              <a:cs typeface="+mn-cs"/>
            </a:rPr>
            <a:t>PORCENTAJE DE RECAUDACIÓN POR VENTA DE ENERGÍA, INCLUIDO OTROS (intereses, créditos, terceros, etc.)</a:t>
          </a:r>
        </a:p>
      </xdr:txBody>
    </xdr:sp>
    <xdr:clientData/>
  </xdr:twoCellAnchor>
  <xdr:twoCellAnchor>
    <xdr:from>
      <xdr:col>6</xdr:col>
      <xdr:colOff>152400</xdr:colOff>
      <xdr:row>35</xdr:row>
      <xdr:rowOff>104775</xdr:rowOff>
    </xdr:from>
    <xdr:to>
      <xdr:col>7</xdr:col>
      <xdr:colOff>0</xdr:colOff>
      <xdr:row>38</xdr:row>
      <xdr:rowOff>44256</xdr:rowOff>
    </xdr:to>
    <xdr:sp macro="" textlink="">
      <xdr:nvSpPr>
        <xdr:cNvPr id="92" name="27 Forma libre">
          <a:extLst>
            <a:ext uri="{FF2B5EF4-FFF2-40B4-BE49-F238E27FC236}">
              <a16:creationId xmlns:a16="http://schemas.microsoft.com/office/drawing/2014/main" id="{00000000-0008-0000-1E00-00005C000000}"/>
            </a:ext>
          </a:extLst>
        </xdr:cNvPr>
        <xdr:cNvSpPr/>
      </xdr:nvSpPr>
      <xdr:spPr>
        <a:xfrm>
          <a:off x="4267200" y="4438650"/>
          <a:ext cx="533400" cy="310956"/>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7</a:t>
          </a:r>
        </a:p>
      </xdr:txBody>
    </xdr:sp>
    <xdr:clientData/>
  </xdr:twoCellAnchor>
  <xdr:twoCellAnchor>
    <xdr:from>
      <xdr:col>7</xdr:col>
      <xdr:colOff>116330</xdr:colOff>
      <xdr:row>13</xdr:row>
      <xdr:rowOff>38100</xdr:rowOff>
    </xdr:from>
    <xdr:to>
      <xdr:col>10</xdr:col>
      <xdr:colOff>495843</xdr:colOff>
      <xdr:row>15</xdr:row>
      <xdr:rowOff>21331</xdr:rowOff>
    </xdr:to>
    <xdr:sp macro="" textlink="">
      <xdr:nvSpPr>
        <xdr:cNvPr id="94" name="28 Forma libre">
          <a:hlinkClick xmlns:r="http://schemas.openxmlformats.org/officeDocument/2006/relationships" r:id="rId7"/>
          <a:extLst>
            <a:ext uri="{FF2B5EF4-FFF2-40B4-BE49-F238E27FC236}">
              <a16:creationId xmlns:a16="http://schemas.microsoft.com/office/drawing/2014/main" id="{00000000-0008-0000-1E00-00005E000000}"/>
            </a:ext>
          </a:extLst>
        </xdr:cNvPr>
        <xdr:cNvSpPr/>
      </xdr:nvSpPr>
      <xdr:spPr>
        <a:xfrm>
          <a:off x="4916930" y="1647825"/>
          <a:ext cx="2436913" cy="230881"/>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PAGO DE HORAS EXTRAS </a:t>
          </a:r>
        </a:p>
      </xdr:txBody>
    </xdr:sp>
    <xdr:clientData/>
  </xdr:twoCellAnchor>
  <xdr:twoCellAnchor>
    <xdr:from>
      <xdr:col>6</xdr:col>
      <xdr:colOff>114300</xdr:colOff>
      <xdr:row>29</xdr:row>
      <xdr:rowOff>0</xdr:rowOff>
    </xdr:from>
    <xdr:to>
      <xdr:col>7</xdr:col>
      <xdr:colOff>0</xdr:colOff>
      <xdr:row>31</xdr:row>
      <xdr:rowOff>66676</xdr:rowOff>
    </xdr:to>
    <xdr:sp macro="" textlink="">
      <xdr:nvSpPr>
        <xdr:cNvPr id="97" name="27 Forma libre">
          <a:extLst>
            <a:ext uri="{FF2B5EF4-FFF2-40B4-BE49-F238E27FC236}">
              <a16:creationId xmlns:a16="http://schemas.microsoft.com/office/drawing/2014/main" id="{00000000-0008-0000-1E00-000061000000}"/>
            </a:ext>
          </a:extLst>
        </xdr:cNvPr>
        <xdr:cNvSpPr/>
      </xdr:nvSpPr>
      <xdr:spPr>
        <a:xfrm>
          <a:off x="4229100" y="3590925"/>
          <a:ext cx="571500" cy="314326"/>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4</a:t>
          </a:r>
        </a:p>
      </xdr:txBody>
    </xdr:sp>
    <xdr:clientData/>
  </xdr:twoCellAnchor>
  <xdr:twoCellAnchor>
    <xdr:from>
      <xdr:col>6</xdr:col>
      <xdr:colOff>114300</xdr:colOff>
      <xdr:row>6</xdr:row>
      <xdr:rowOff>76200</xdr:rowOff>
    </xdr:from>
    <xdr:to>
      <xdr:col>6</xdr:col>
      <xdr:colOff>657225</xdr:colOff>
      <xdr:row>8</xdr:row>
      <xdr:rowOff>104776</xdr:rowOff>
    </xdr:to>
    <xdr:sp macro="" textlink="">
      <xdr:nvSpPr>
        <xdr:cNvPr id="99" name="27 Forma libre">
          <a:extLst>
            <a:ext uri="{FF2B5EF4-FFF2-40B4-BE49-F238E27FC236}">
              <a16:creationId xmlns:a16="http://schemas.microsoft.com/office/drawing/2014/main" id="{00000000-0008-0000-1E00-000063000000}"/>
            </a:ext>
          </a:extLst>
        </xdr:cNvPr>
        <xdr:cNvSpPr/>
      </xdr:nvSpPr>
      <xdr:spPr>
        <a:xfrm>
          <a:off x="4229100" y="819150"/>
          <a:ext cx="542925" cy="276226"/>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19</a:t>
          </a:r>
        </a:p>
      </xdr:txBody>
    </xdr:sp>
    <xdr:clientData/>
  </xdr:twoCellAnchor>
  <xdr:twoCellAnchor>
    <xdr:from>
      <xdr:col>7</xdr:col>
      <xdr:colOff>97280</xdr:colOff>
      <xdr:row>6</xdr:row>
      <xdr:rowOff>95250</xdr:rowOff>
    </xdr:from>
    <xdr:to>
      <xdr:col>10</xdr:col>
      <xdr:colOff>476793</xdr:colOff>
      <xdr:row>8</xdr:row>
      <xdr:rowOff>88006</xdr:rowOff>
    </xdr:to>
    <xdr:sp macro="" textlink="">
      <xdr:nvSpPr>
        <xdr:cNvPr id="100" name="28 Forma libre">
          <a:hlinkClick xmlns:r="http://schemas.openxmlformats.org/officeDocument/2006/relationships" r:id="rId8"/>
          <a:extLst>
            <a:ext uri="{FF2B5EF4-FFF2-40B4-BE49-F238E27FC236}">
              <a16:creationId xmlns:a16="http://schemas.microsoft.com/office/drawing/2014/main" id="{00000000-0008-0000-1E00-000064000000}"/>
            </a:ext>
          </a:extLst>
        </xdr:cNvPr>
        <xdr:cNvSpPr/>
      </xdr:nvSpPr>
      <xdr:spPr>
        <a:xfrm>
          <a:off x="4897880" y="838200"/>
          <a:ext cx="2436913" cy="240406"/>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EJECUCIÓN PRESUPUESTARIA</a:t>
          </a:r>
        </a:p>
      </xdr:txBody>
    </xdr:sp>
    <xdr:clientData/>
  </xdr:twoCellAnchor>
  <xdr:twoCellAnchor>
    <xdr:from>
      <xdr:col>7</xdr:col>
      <xdr:colOff>154430</xdr:colOff>
      <xdr:row>31</xdr:row>
      <xdr:rowOff>85725</xdr:rowOff>
    </xdr:from>
    <xdr:to>
      <xdr:col>10</xdr:col>
      <xdr:colOff>533943</xdr:colOff>
      <xdr:row>34</xdr:row>
      <xdr:rowOff>47625</xdr:rowOff>
    </xdr:to>
    <xdr:sp macro="" textlink="">
      <xdr:nvSpPr>
        <xdr:cNvPr id="101" name="28 Forma libre">
          <a:hlinkClick xmlns:r="http://schemas.openxmlformats.org/officeDocument/2006/relationships" r:id="rId9"/>
          <a:extLst>
            <a:ext uri="{FF2B5EF4-FFF2-40B4-BE49-F238E27FC236}">
              <a16:creationId xmlns:a16="http://schemas.microsoft.com/office/drawing/2014/main" id="{00000000-0008-0000-1E00-000065000000}"/>
            </a:ext>
          </a:extLst>
        </xdr:cNvPr>
        <xdr:cNvSpPr/>
      </xdr:nvSpPr>
      <xdr:spPr>
        <a:xfrm>
          <a:off x="4955030" y="3924300"/>
          <a:ext cx="2436913" cy="333375"/>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marR="0" lvl="1" indent="-57150" algn="l" defTabSz="444500" eaLnBrk="1" fontAlgn="auto" latinLnBrk="0" hangingPunct="1">
            <a:lnSpc>
              <a:spcPct val="90000"/>
            </a:lnSpc>
            <a:spcBef>
              <a:spcPct val="0"/>
            </a:spcBef>
            <a:spcAft>
              <a:spcPct val="15000"/>
            </a:spcAft>
            <a:buClrTx/>
            <a:buSzTx/>
            <a:buFontTx/>
            <a:buChar char="••"/>
            <a:tabLst/>
            <a:defRPr/>
          </a:pPr>
          <a:r>
            <a:rPr lang="es-EC" sz="900" kern="1200" baseline="0">
              <a:solidFill>
                <a:schemeClr val="dk1">
                  <a:hueOff val="0"/>
                  <a:satOff val="0"/>
                  <a:lumOff val="0"/>
                  <a:alphaOff val="0"/>
                </a:schemeClr>
              </a:solidFill>
              <a:effectLst/>
              <a:latin typeface="+mn-lt"/>
              <a:ea typeface="+mn-ea"/>
              <a:cs typeface="+mn-cs"/>
            </a:rPr>
            <a:t>USD  RECAUDACIÓN POR VENTA DE ENERGÍA</a:t>
          </a:r>
          <a:endParaRPr lang="es-EC" sz="900" kern="1200"/>
        </a:p>
      </xdr:txBody>
    </xdr:sp>
    <xdr:clientData/>
  </xdr:twoCellAnchor>
  <xdr:twoCellAnchor>
    <xdr:from>
      <xdr:col>6</xdr:col>
      <xdr:colOff>133351</xdr:colOff>
      <xdr:row>32</xdr:row>
      <xdr:rowOff>38100</xdr:rowOff>
    </xdr:from>
    <xdr:to>
      <xdr:col>6</xdr:col>
      <xdr:colOff>666750</xdr:colOff>
      <xdr:row>34</xdr:row>
      <xdr:rowOff>95251</xdr:rowOff>
    </xdr:to>
    <xdr:sp macro="" textlink="">
      <xdr:nvSpPr>
        <xdr:cNvPr id="102" name="27 Forma libre">
          <a:extLst>
            <a:ext uri="{FF2B5EF4-FFF2-40B4-BE49-F238E27FC236}">
              <a16:creationId xmlns:a16="http://schemas.microsoft.com/office/drawing/2014/main" id="{00000000-0008-0000-1E00-000066000000}"/>
            </a:ext>
          </a:extLst>
        </xdr:cNvPr>
        <xdr:cNvSpPr/>
      </xdr:nvSpPr>
      <xdr:spPr>
        <a:xfrm>
          <a:off x="4248151" y="4000500"/>
          <a:ext cx="533399" cy="304801"/>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5</a:t>
          </a:r>
        </a:p>
      </xdr:txBody>
    </xdr:sp>
    <xdr:clientData/>
  </xdr:twoCellAnchor>
  <xdr:twoCellAnchor>
    <xdr:from>
      <xdr:col>6</xdr:col>
      <xdr:colOff>142876</xdr:colOff>
      <xdr:row>9</xdr:row>
      <xdr:rowOff>76200</xdr:rowOff>
    </xdr:from>
    <xdr:to>
      <xdr:col>6</xdr:col>
      <xdr:colOff>676276</xdr:colOff>
      <xdr:row>11</xdr:row>
      <xdr:rowOff>114301</xdr:rowOff>
    </xdr:to>
    <xdr:sp macro="" textlink="">
      <xdr:nvSpPr>
        <xdr:cNvPr id="104" name="27 Forma libre">
          <a:extLst>
            <a:ext uri="{FF2B5EF4-FFF2-40B4-BE49-F238E27FC236}">
              <a16:creationId xmlns:a16="http://schemas.microsoft.com/office/drawing/2014/main" id="{00000000-0008-0000-1E00-000068000000}"/>
            </a:ext>
          </a:extLst>
        </xdr:cNvPr>
        <xdr:cNvSpPr/>
      </xdr:nvSpPr>
      <xdr:spPr>
        <a:xfrm>
          <a:off x="4257676" y="1190625"/>
          <a:ext cx="533400" cy="285751"/>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20</a:t>
          </a:r>
        </a:p>
      </xdr:txBody>
    </xdr:sp>
    <xdr:clientData/>
  </xdr:twoCellAnchor>
  <xdr:twoCellAnchor>
    <xdr:from>
      <xdr:col>7</xdr:col>
      <xdr:colOff>114300</xdr:colOff>
      <xdr:row>9</xdr:row>
      <xdr:rowOff>28575</xdr:rowOff>
    </xdr:from>
    <xdr:to>
      <xdr:col>10</xdr:col>
      <xdr:colOff>493813</xdr:colOff>
      <xdr:row>12</xdr:row>
      <xdr:rowOff>47625</xdr:rowOff>
    </xdr:to>
    <xdr:sp macro="" textlink="">
      <xdr:nvSpPr>
        <xdr:cNvPr id="105" name="28 Forma libre">
          <a:hlinkClick xmlns:r="http://schemas.openxmlformats.org/officeDocument/2006/relationships" r:id="rId10"/>
          <a:extLst>
            <a:ext uri="{FF2B5EF4-FFF2-40B4-BE49-F238E27FC236}">
              <a16:creationId xmlns:a16="http://schemas.microsoft.com/office/drawing/2014/main" id="{00000000-0008-0000-1E00-000069000000}"/>
            </a:ext>
          </a:extLst>
        </xdr:cNvPr>
        <xdr:cNvSpPr/>
      </xdr:nvSpPr>
      <xdr:spPr>
        <a:xfrm>
          <a:off x="4914900" y="1143000"/>
          <a:ext cx="2436913" cy="390525"/>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PROCESOS DE CONTRATACIÓN Y COMPRAS PÚBLICAS DE BIENES Y SERVICIOS</a:t>
          </a:r>
        </a:p>
      </xdr:txBody>
    </xdr:sp>
    <xdr:clientData/>
  </xdr:twoCellAnchor>
  <xdr:twoCellAnchor>
    <xdr:from>
      <xdr:col>6</xdr:col>
      <xdr:colOff>123825</xdr:colOff>
      <xdr:row>16</xdr:row>
      <xdr:rowOff>28575</xdr:rowOff>
    </xdr:from>
    <xdr:to>
      <xdr:col>7</xdr:col>
      <xdr:colOff>0</xdr:colOff>
      <xdr:row>19</xdr:row>
      <xdr:rowOff>34731</xdr:rowOff>
    </xdr:to>
    <xdr:sp macro="" textlink="">
      <xdr:nvSpPr>
        <xdr:cNvPr id="109" name="27 Forma libre">
          <a:extLst>
            <a:ext uri="{FF2B5EF4-FFF2-40B4-BE49-F238E27FC236}">
              <a16:creationId xmlns:a16="http://schemas.microsoft.com/office/drawing/2014/main" id="{00000000-0008-0000-1E00-00006D000000}"/>
            </a:ext>
          </a:extLst>
        </xdr:cNvPr>
        <xdr:cNvSpPr/>
      </xdr:nvSpPr>
      <xdr:spPr>
        <a:xfrm>
          <a:off x="4238625" y="2009775"/>
          <a:ext cx="561975" cy="377631"/>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25</a:t>
          </a:r>
        </a:p>
      </xdr:txBody>
    </xdr:sp>
    <xdr:clientData/>
  </xdr:twoCellAnchor>
  <xdr:twoCellAnchor>
    <xdr:from>
      <xdr:col>7</xdr:col>
      <xdr:colOff>157959</xdr:colOff>
      <xdr:row>16</xdr:row>
      <xdr:rowOff>40517</xdr:rowOff>
    </xdr:from>
    <xdr:to>
      <xdr:col>10</xdr:col>
      <xdr:colOff>510116</xdr:colOff>
      <xdr:row>19</xdr:row>
      <xdr:rowOff>57150</xdr:rowOff>
    </xdr:to>
    <xdr:sp macro="" textlink="">
      <xdr:nvSpPr>
        <xdr:cNvPr id="110" name="36 Forma libre">
          <a:hlinkClick xmlns:r="http://schemas.openxmlformats.org/officeDocument/2006/relationships" r:id="rId11"/>
          <a:extLst>
            <a:ext uri="{FF2B5EF4-FFF2-40B4-BE49-F238E27FC236}">
              <a16:creationId xmlns:a16="http://schemas.microsoft.com/office/drawing/2014/main" id="{00000000-0008-0000-1E00-00006E000000}"/>
            </a:ext>
          </a:extLst>
        </xdr:cNvPr>
        <xdr:cNvSpPr/>
      </xdr:nvSpPr>
      <xdr:spPr>
        <a:xfrm>
          <a:off x="4958559" y="2021717"/>
          <a:ext cx="2409557" cy="388108"/>
        </a:xfrm>
        <a:custGeom>
          <a:avLst/>
          <a:gdLst>
            <a:gd name="connsiteX0" fmla="*/ 57850 w 347091"/>
            <a:gd name="connsiteY0" fmla="*/ 0 h 3704546"/>
            <a:gd name="connsiteX1" fmla="*/ 289241 w 347091"/>
            <a:gd name="connsiteY1" fmla="*/ 0 h 3704546"/>
            <a:gd name="connsiteX2" fmla="*/ 347091 w 347091"/>
            <a:gd name="connsiteY2" fmla="*/ 57850 h 3704546"/>
            <a:gd name="connsiteX3" fmla="*/ 347091 w 347091"/>
            <a:gd name="connsiteY3" fmla="*/ 3704546 h 3704546"/>
            <a:gd name="connsiteX4" fmla="*/ 347091 w 347091"/>
            <a:gd name="connsiteY4" fmla="*/ 3704546 h 3704546"/>
            <a:gd name="connsiteX5" fmla="*/ 0 w 347091"/>
            <a:gd name="connsiteY5" fmla="*/ 3704546 h 3704546"/>
            <a:gd name="connsiteX6" fmla="*/ 0 w 347091"/>
            <a:gd name="connsiteY6" fmla="*/ 3704546 h 3704546"/>
            <a:gd name="connsiteX7" fmla="*/ 0 w 347091"/>
            <a:gd name="connsiteY7" fmla="*/ 57850 h 3704546"/>
            <a:gd name="connsiteX8" fmla="*/ 57850 w 347091"/>
            <a:gd name="connsiteY8" fmla="*/ 0 h 3704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04546">
              <a:moveTo>
                <a:pt x="347091" y="617444"/>
              </a:moveTo>
              <a:lnTo>
                <a:pt x="347091" y="3087102"/>
              </a:lnTo>
              <a:cubicBezTo>
                <a:pt x="347091" y="3428107"/>
                <a:pt x="344664" y="3704541"/>
                <a:pt x="341671" y="3704541"/>
              </a:cubicBezTo>
              <a:lnTo>
                <a:pt x="0" y="3704541"/>
              </a:lnTo>
              <a:lnTo>
                <a:pt x="0" y="3704541"/>
              </a:lnTo>
              <a:lnTo>
                <a:pt x="0" y="5"/>
              </a:lnTo>
              <a:lnTo>
                <a:pt x="0" y="5"/>
              </a:lnTo>
              <a:lnTo>
                <a:pt x="341671" y="5"/>
              </a:lnTo>
              <a:cubicBezTo>
                <a:pt x="344664" y="5"/>
                <a:pt x="347091" y="276439"/>
                <a:pt x="347091" y="617444"/>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769"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ESTADO DE PROYECTOS DE INVERSIÓN </a:t>
          </a:r>
        </a:p>
      </xdr:txBody>
    </xdr:sp>
    <xdr:clientData/>
  </xdr:twoCellAnchor>
  <xdr:twoCellAnchor>
    <xdr:from>
      <xdr:col>6</xdr:col>
      <xdr:colOff>133351</xdr:colOff>
      <xdr:row>39</xdr:row>
      <xdr:rowOff>19050</xdr:rowOff>
    </xdr:from>
    <xdr:to>
      <xdr:col>7</xdr:col>
      <xdr:colOff>1</xdr:colOff>
      <xdr:row>41</xdr:row>
      <xdr:rowOff>85726</xdr:rowOff>
    </xdr:to>
    <xdr:sp macro="" textlink="">
      <xdr:nvSpPr>
        <xdr:cNvPr id="111" name="27 Forma libre">
          <a:extLst>
            <a:ext uri="{FF2B5EF4-FFF2-40B4-BE49-F238E27FC236}">
              <a16:creationId xmlns:a16="http://schemas.microsoft.com/office/drawing/2014/main" id="{00000000-0008-0000-1E00-00006F000000}"/>
            </a:ext>
          </a:extLst>
        </xdr:cNvPr>
        <xdr:cNvSpPr/>
      </xdr:nvSpPr>
      <xdr:spPr>
        <a:xfrm>
          <a:off x="4248151" y="4848225"/>
          <a:ext cx="552450" cy="314326"/>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8</a:t>
          </a:r>
        </a:p>
      </xdr:txBody>
    </xdr:sp>
    <xdr:clientData/>
  </xdr:twoCellAnchor>
  <xdr:twoCellAnchor>
    <xdr:from>
      <xdr:col>7</xdr:col>
      <xdr:colOff>144905</xdr:colOff>
      <xdr:row>39</xdr:row>
      <xdr:rowOff>85725</xdr:rowOff>
    </xdr:from>
    <xdr:to>
      <xdr:col>10</xdr:col>
      <xdr:colOff>524418</xdr:colOff>
      <xdr:row>41</xdr:row>
      <xdr:rowOff>78481</xdr:rowOff>
    </xdr:to>
    <xdr:sp macro="" textlink="">
      <xdr:nvSpPr>
        <xdr:cNvPr id="112" name="28 Forma libre">
          <a:hlinkClick xmlns:r="http://schemas.openxmlformats.org/officeDocument/2006/relationships" r:id="rId12"/>
          <a:extLst>
            <a:ext uri="{FF2B5EF4-FFF2-40B4-BE49-F238E27FC236}">
              <a16:creationId xmlns:a16="http://schemas.microsoft.com/office/drawing/2014/main" id="{00000000-0008-0000-1E00-000070000000}"/>
            </a:ext>
          </a:extLst>
        </xdr:cNvPr>
        <xdr:cNvSpPr/>
      </xdr:nvSpPr>
      <xdr:spPr>
        <a:xfrm>
          <a:off x="4945505" y="4914900"/>
          <a:ext cx="2436913" cy="240406"/>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CARTERA VENCIDA</a:t>
          </a:r>
        </a:p>
      </xdr:txBody>
    </xdr:sp>
    <xdr:clientData/>
  </xdr:twoCellAnchor>
  <xdr:twoCellAnchor>
    <xdr:from>
      <xdr:col>6</xdr:col>
      <xdr:colOff>47625</xdr:colOff>
      <xdr:row>21</xdr:row>
      <xdr:rowOff>47625</xdr:rowOff>
    </xdr:from>
    <xdr:to>
      <xdr:col>10</xdr:col>
      <xdr:colOff>561975</xdr:colOff>
      <xdr:row>23</xdr:row>
      <xdr:rowOff>47625</xdr:rowOff>
    </xdr:to>
    <xdr:sp macro="" textlink="">
      <xdr:nvSpPr>
        <xdr:cNvPr id="113" name="40 Rectángulo">
          <a:extLst>
            <a:ext uri="{FF2B5EF4-FFF2-40B4-BE49-F238E27FC236}">
              <a16:creationId xmlns:a16="http://schemas.microsoft.com/office/drawing/2014/main" id="{00000000-0008-0000-1E00-000071000000}"/>
            </a:ext>
          </a:extLst>
        </xdr:cNvPr>
        <xdr:cNvSpPr/>
      </xdr:nvSpPr>
      <xdr:spPr>
        <a:xfrm>
          <a:off x="4162425" y="2647950"/>
          <a:ext cx="325755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000"/>
            <a:t>GESTIÓN COMERCIAL</a:t>
          </a:r>
        </a:p>
      </xdr:txBody>
    </xdr:sp>
    <xdr:clientData/>
  </xdr:twoCellAnchor>
  <xdr:twoCellAnchor>
    <xdr:from>
      <xdr:col>7</xdr:col>
      <xdr:colOff>125855</xdr:colOff>
      <xdr:row>28</xdr:row>
      <xdr:rowOff>76200</xdr:rowOff>
    </xdr:from>
    <xdr:to>
      <xdr:col>10</xdr:col>
      <xdr:colOff>505368</xdr:colOff>
      <xdr:row>31</xdr:row>
      <xdr:rowOff>33077</xdr:rowOff>
    </xdr:to>
    <xdr:sp macro="" textlink="">
      <xdr:nvSpPr>
        <xdr:cNvPr id="115" name="28 Forma libre">
          <a:hlinkClick xmlns:r="http://schemas.openxmlformats.org/officeDocument/2006/relationships" r:id="rId13"/>
          <a:extLst>
            <a:ext uri="{FF2B5EF4-FFF2-40B4-BE49-F238E27FC236}">
              <a16:creationId xmlns:a16="http://schemas.microsoft.com/office/drawing/2014/main" id="{00000000-0008-0000-1E00-000073000000}"/>
            </a:ext>
          </a:extLst>
        </xdr:cNvPr>
        <xdr:cNvSpPr/>
      </xdr:nvSpPr>
      <xdr:spPr>
        <a:xfrm>
          <a:off x="4926455" y="3543300"/>
          <a:ext cx="2436913" cy="328352"/>
        </a:xfrm>
        <a:custGeom>
          <a:avLst/>
          <a:gdLst>
            <a:gd name="connsiteX0" fmla="*/ 57850 w 347091"/>
            <a:gd name="connsiteY0" fmla="*/ 0 h 3742999"/>
            <a:gd name="connsiteX1" fmla="*/ 289241 w 347091"/>
            <a:gd name="connsiteY1" fmla="*/ 0 h 3742999"/>
            <a:gd name="connsiteX2" fmla="*/ 347091 w 347091"/>
            <a:gd name="connsiteY2" fmla="*/ 57850 h 3742999"/>
            <a:gd name="connsiteX3" fmla="*/ 347091 w 347091"/>
            <a:gd name="connsiteY3" fmla="*/ 3742999 h 3742999"/>
            <a:gd name="connsiteX4" fmla="*/ 347091 w 347091"/>
            <a:gd name="connsiteY4" fmla="*/ 3742999 h 3742999"/>
            <a:gd name="connsiteX5" fmla="*/ 0 w 347091"/>
            <a:gd name="connsiteY5" fmla="*/ 3742999 h 3742999"/>
            <a:gd name="connsiteX6" fmla="*/ 0 w 347091"/>
            <a:gd name="connsiteY6" fmla="*/ 3742999 h 3742999"/>
            <a:gd name="connsiteX7" fmla="*/ 0 w 347091"/>
            <a:gd name="connsiteY7" fmla="*/ 57850 h 3742999"/>
            <a:gd name="connsiteX8" fmla="*/ 57850 w 347091"/>
            <a:gd name="connsiteY8" fmla="*/ 0 h 3742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42999">
              <a:moveTo>
                <a:pt x="347091" y="623853"/>
              </a:moveTo>
              <a:lnTo>
                <a:pt x="347091" y="3119146"/>
              </a:lnTo>
              <a:cubicBezTo>
                <a:pt x="347091" y="3463691"/>
                <a:pt x="344689" y="3742994"/>
                <a:pt x="341727" y="3742994"/>
              </a:cubicBezTo>
              <a:lnTo>
                <a:pt x="0" y="3742994"/>
              </a:lnTo>
              <a:lnTo>
                <a:pt x="0" y="3742994"/>
              </a:lnTo>
              <a:lnTo>
                <a:pt x="0" y="5"/>
              </a:lnTo>
              <a:lnTo>
                <a:pt x="0" y="5"/>
              </a:lnTo>
              <a:lnTo>
                <a:pt x="341727" y="5"/>
              </a:lnTo>
              <a:cubicBezTo>
                <a:pt x="344689" y="5"/>
                <a:pt x="347091" y="279308"/>
                <a:pt x="347091" y="623853"/>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0" tIns="140770"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USD</a:t>
          </a:r>
          <a:r>
            <a:rPr lang="es-EC" sz="1000" kern="1200" baseline="0"/>
            <a:t> FACTURACIÓN POR ENERGÍA CONSUMIDA</a:t>
          </a:r>
          <a:endParaRPr lang="es-EC" sz="1000" kern="1200"/>
        </a:p>
      </xdr:txBody>
    </xdr:sp>
    <xdr:clientData/>
  </xdr:twoCellAnchor>
  <xdr:twoCellAnchor>
    <xdr:from>
      <xdr:col>1</xdr:col>
      <xdr:colOff>342900</xdr:colOff>
      <xdr:row>6</xdr:row>
      <xdr:rowOff>85725</xdr:rowOff>
    </xdr:from>
    <xdr:to>
      <xdr:col>5</xdr:col>
      <xdr:colOff>504825</xdr:colOff>
      <xdr:row>11</xdr:row>
      <xdr:rowOff>19050</xdr:rowOff>
    </xdr:to>
    <xdr:sp macro="" textlink="">
      <xdr:nvSpPr>
        <xdr:cNvPr id="36" name="27 Rectángulo">
          <a:hlinkClick xmlns:r="http://schemas.openxmlformats.org/officeDocument/2006/relationships" r:id="rId14"/>
          <a:extLst>
            <a:ext uri="{FF2B5EF4-FFF2-40B4-BE49-F238E27FC236}">
              <a16:creationId xmlns:a16="http://schemas.microsoft.com/office/drawing/2014/main" id="{00000000-0008-0000-1E00-000024000000}"/>
            </a:ext>
          </a:extLst>
        </xdr:cNvPr>
        <xdr:cNvSpPr/>
      </xdr:nvSpPr>
      <xdr:spPr>
        <a:xfrm>
          <a:off x="1028700" y="828675"/>
          <a:ext cx="2905125" cy="5524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FINANZAS</a:t>
          </a:r>
        </a:p>
      </xdr:txBody>
    </xdr:sp>
    <xdr:clientData/>
  </xdr:twoCellAnchor>
  <xdr:oneCellAnchor>
    <xdr:from>
      <xdr:col>2</xdr:col>
      <xdr:colOff>47625</xdr:colOff>
      <xdr:row>35</xdr:row>
      <xdr:rowOff>95250</xdr:rowOff>
    </xdr:from>
    <xdr:ext cx="2654766" cy="343940"/>
    <xdr:sp macro="" textlink="">
      <xdr:nvSpPr>
        <xdr:cNvPr id="38" name="22 Rectángulo">
          <a:extLst>
            <a:ext uri="{FF2B5EF4-FFF2-40B4-BE49-F238E27FC236}">
              <a16:creationId xmlns:a16="http://schemas.microsoft.com/office/drawing/2014/main" id="{00000000-0008-0000-1E00-000026000000}"/>
            </a:ext>
          </a:extLst>
        </xdr:cNvPr>
        <xdr:cNvSpPr/>
      </xdr:nvSpPr>
      <xdr:spPr>
        <a:xfrm>
          <a:off x="1419225" y="4429125"/>
          <a:ext cx="2654766" cy="343940"/>
        </a:xfrm>
        <a:prstGeom prst="rect">
          <a:avLst/>
        </a:prstGeom>
        <a:noFill/>
      </xdr:spPr>
      <xdr:txBody>
        <a:bodyPr wrap="none" lIns="91440" tIns="45720" rIns="91440" bIns="45720">
          <a:spAutoFit/>
        </a:bodyPr>
        <a:lstStyle/>
        <a:p>
          <a:pPr algn="ctr"/>
          <a:r>
            <a:rPr lang="es-ES" sz="1600" b="1" i="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entury Gothic" panose="020B0502020202020204" pitchFamily="34" charset="0"/>
              <a:cs typeface="David" panose="020E0502060401010101" pitchFamily="34" charset="-79"/>
            </a:rPr>
            <a:t>Jefatura de Planificación</a:t>
          </a: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0</xdr:col>
      <xdr:colOff>714375</xdr:colOff>
      <xdr:row>0</xdr:row>
      <xdr:rowOff>114300</xdr:rowOff>
    </xdr:from>
    <xdr:to>
      <xdr:col>6</xdr:col>
      <xdr:colOff>0</xdr:colOff>
      <xdr:row>43</xdr:row>
      <xdr:rowOff>0</xdr:rowOff>
    </xdr:to>
    <xdr:sp macro="" textlink="">
      <xdr:nvSpPr>
        <xdr:cNvPr id="2" name="1 Rectángulo">
          <a:extLst>
            <a:ext uri="{FF2B5EF4-FFF2-40B4-BE49-F238E27FC236}">
              <a16:creationId xmlns:a16="http://schemas.microsoft.com/office/drawing/2014/main" id="{00000000-0008-0000-1F00-000002000000}"/>
            </a:ext>
          </a:extLst>
        </xdr:cNvPr>
        <xdr:cNvSpPr/>
      </xdr:nvSpPr>
      <xdr:spPr>
        <a:xfrm>
          <a:off x="714375" y="114300"/>
          <a:ext cx="3857625" cy="5210175"/>
        </a:xfrm>
        <a:prstGeom prst="rect">
          <a:avLst/>
        </a:prstGeom>
        <a:solidFill>
          <a:schemeClr val="bg1"/>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s-EC" sz="1100"/>
        </a:p>
      </xdr:txBody>
    </xdr:sp>
    <xdr:clientData/>
  </xdr:twoCellAnchor>
  <xdr:twoCellAnchor>
    <xdr:from>
      <xdr:col>6</xdr:col>
      <xdr:colOff>0</xdr:colOff>
      <xdr:row>0</xdr:row>
      <xdr:rowOff>114300</xdr:rowOff>
    </xdr:from>
    <xdr:to>
      <xdr:col>11</xdr:col>
      <xdr:colOff>0</xdr:colOff>
      <xdr:row>43</xdr:row>
      <xdr:rowOff>0</xdr:rowOff>
    </xdr:to>
    <xdr:sp macro="" textlink="">
      <xdr:nvSpPr>
        <xdr:cNvPr id="3" name="2 Rectángulo">
          <a:extLst>
            <a:ext uri="{FF2B5EF4-FFF2-40B4-BE49-F238E27FC236}">
              <a16:creationId xmlns:a16="http://schemas.microsoft.com/office/drawing/2014/main" id="{00000000-0008-0000-1F00-000003000000}"/>
            </a:ext>
          </a:extLst>
        </xdr:cNvPr>
        <xdr:cNvSpPr/>
      </xdr:nvSpPr>
      <xdr:spPr>
        <a:xfrm>
          <a:off x="4114800" y="114300"/>
          <a:ext cx="3429000" cy="5210175"/>
        </a:xfrm>
        <a:prstGeom prst="rect">
          <a:avLst/>
        </a:prstGeom>
        <a:solidFill>
          <a:sysClr val="window" lastClr="FFFFFF"/>
        </a:solid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0</xdr:col>
      <xdr:colOff>714376</xdr:colOff>
      <xdr:row>0</xdr:row>
      <xdr:rowOff>114300</xdr:rowOff>
    </xdr:from>
    <xdr:to>
      <xdr:col>2</xdr:col>
      <xdr:colOff>152400</xdr:colOff>
      <xdr:row>6</xdr:row>
      <xdr:rowOff>9525</xdr:rowOff>
    </xdr:to>
    <xdr:sp macro="" textlink="">
      <xdr:nvSpPr>
        <xdr:cNvPr id="6" name="5 Rectángulo">
          <a:extLst>
            <a:ext uri="{FF2B5EF4-FFF2-40B4-BE49-F238E27FC236}">
              <a16:creationId xmlns:a16="http://schemas.microsoft.com/office/drawing/2014/main" id="{00000000-0008-0000-1F00-000006000000}"/>
            </a:ext>
          </a:extLst>
        </xdr:cNvPr>
        <xdr:cNvSpPr/>
      </xdr:nvSpPr>
      <xdr:spPr>
        <a:xfrm>
          <a:off x="7143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4</xdr:col>
      <xdr:colOff>561976</xdr:colOff>
      <xdr:row>0</xdr:row>
      <xdr:rowOff>114300</xdr:rowOff>
    </xdr:from>
    <xdr:to>
      <xdr:col>6</xdr:col>
      <xdr:colOff>0</xdr:colOff>
      <xdr:row>6</xdr:row>
      <xdr:rowOff>9525</xdr:rowOff>
    </xdr:to>
    <xdr:sp macro="" textlink="">
      <xdr:nvSpPr>
        <xdr:cNvPr id="7" name="6 Rectángulo">
          <a:extLst>
            <a:ext uri="{FF2B5EF4-FFF2-40B4-BE49-F238E27FC236}">
              <a16:creationId xmlns:a16="http://schemas.microsoft.com/office/drawing/2014/main" id="{00000000-0008-0000-1F00-000007000000}"/>
            </a:ext>
          </a:extLst>
        </xdr:cNvPr>
        <xdr:cNvSpPr/>
      </xdr:nvSpPr>
      <xdr:spPr>
        <a:xfrm>
          <a:off x="36099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2</xdr:col>
      <xdr:colOff>171451</xdr:colOff>
      <xdr:row>0</xdr:row>
      <xdr:rowOff>114300</xdr:rowOff>
    </xdr:from>
    <xdr:to>
      <xdr:col>4</xdr:col>
      <xdr:colOff>542925</xdr:colOff>
      <xdr:row>6</xdr:row>
      <xdr:rowOff>9525</xdr:rowOff>
    </xdr:to>
    <xdr:sp macro="" textlink="">
      <xdr:nvSpPr>
        <xdr:cNvPr id="8" name="7 Rectángulo">
          <a:extLst>
            <a:ext uri="{FF2B5EF4-FFF2-40B4-BE49-F238E27FC236}">
              <a16:creationId xmlns:a16="http://schemas.microsoft.com/office/drawing/2014/main" id="{00000000-0008-0000-1F00-000008000000}"/>
            </a:ext>
          </a:extLst>
        </xdr:cNvPr>
        <xdr:cNvSpPr/>
      </xdr:nvSpPr>
      <xdr:spPr>
        <a:xfrm>
          <a:off x="1695451" y="114300"/>
          <a:ext cx="189547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7</xdr:col>
      <xdr:colOff>163127</xdr:colOff>
      <xdr:row>32</xdr:row>
      <xdr:rowOff>114300</xdr:rowOff>
    </xdr:from>
    <xdr:to>
      <xdr:col>10</xdr:col>
      <xdr:colOff>523875</xdr:colOff>
      <xdr:row>37</xdr:row>
      <xdr:rowOff>19050</xdr:rowOff>
    </xdr:to>
    <xdr:sp macro="" textlink="">
      <xdr:nvSpPr>
        <xdr:cNvPr id="15" name="16 Forma libre">
          <a:hlinkClick xmlns:r="http://schemas.openxmlformats.org/officeDocument/2006/relationships" r:id="rId1"/>
          <a:extLst>
            <a:ext uri="{FF2B5EF4-FFF2-40B4-BE49-F238E27FC236}">
              <a16:creationId xmlns:a16="http://schemas.microsoft.com/office/drawing/2014/main" id="{00000000-0008-0000-1F00-00000F000000}"/>
            </a:ext>
          </a:extLst>
        </xdr:cNvPr>
        <xdr:cNvSpPr/>
      </xdr:nvSpPr>
      <xdr:spPr>
        <a:xfrm>
          <a:off x="4963727" y="4076700"/>
          <a:ext cx="2418148" cy="523875"/>
        </a:xfrm>
        <a:custGeom>
          <a:avLst/>
          <a:gdLst>
            <a:gd name="connsiteX0" fmla="*/ 39473 w 236835"/>
            <a:gd name="connsiteY0" fmla="*/ 0 h 3628432"/>
            <a:gd name="connsiteX1" fmla="*/ 197362 w 236835"/>
            <a:gd name="connsiteY1" fmla="*/ 0 h 3628432"/>
            <a:gd name="connsiteX2" fmla="*/ 236835 w 236835"/>
            <a:gd name="connsiteY2" fmla="*/ 39473 h 3628432"/>
            <a:gd name="connsiteX3" fmla="*/ 236835 w 236835"/>
            <a:gd name="connsiteY3" fmla="*/ 3628432 h 3628432"/>
            <a:gd name="connsiteX4" fmla="*/ 236835 w 236835"/>
            <a:gd name="connsiteY4" fmla="*/ 3628432 h 3628432"/>
            <a:gd name="connsiteX5" fmla="*/ 0 w 236835"/>
            <a:gd name="connsiteY5" fmla="*/ 3628432 h 3628432"/>
            <a:gd name="connsiteX6" fmla="*/ 0 w 236835"/>
            <a:gd name="connsiteY6" fmla="*/ 3628432 h 3628432"/>
            <a:gd name="connsiteX7" fmla="*/ 0 w 236835"/>
            <a:gd name="connsiteY7" fmla="*/ 39473 h 3628432"/>
            <a:gd name="connsiteX8" fmla="*/ 39473 w 236835"/>
            <a:gd name="connsiteY8" fmla="*/ 0 h 3628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6835" h="3628432">
              <a:moveTo>
                <a:pt x="236835" y="604751"/>
              </a:moveTo>
              <a:lnTo>
                <a:pt x="236835" y="3023681"/>
              </a:lnTo>
              <a:cubicBezTo>
                <a:pt x="236835" y="3357666"/>
                <a:pt x="235681" y="3628424"/>
                <a:pt x="234258" y="3628424"/>
              </a:cubicBezTo>
              <a:lnTo>
                <a:pt x="0" y="3628424"/>
              </a:lnTo>
              <a:lnTo>
                <a:pt x="0" y="3628424"/>
              </a:lnTo>
              <a:lnTo>
                <a:pt x="0" y="8"/>
              </a:lnTo>
              <a:lnTo>
                <a:pt x="0" y="8"/>
              </a:lnTo>
              <a:lnTo>
                <a:pt x="234258" y="8"/>
              </a:lnTo>
              <a:cubicBezTo>
                <a:pt x="235681" y="8"/>
                <a:pt x="236835" y="270766"/>
                <a:pt x="236835" y="604751"/>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35386" rIns="259211" bIns="135387" numCol="1" spcCol="1270" anchor="ctr" anchorCtr="0">
          <a:noAutofit/>
        </a:bodyPr>
        <a:lstStyle/>
        <a:p>
          <a:pPr marL="57150" lvl="1" indent="-57150" algn="l" defTabSz="444500">
            <a:lnSpc>
              <a:spcPct val="90000"/>
            </a:lnSpc>
            <a:spcBef>
              <a:spcPct val="0"/>
            </a:spcBef>
            <a:spcAft>
              <a:spcPct val="15000"/>
            </a:spcAft>
            <a:buChar char="••"/>
          </a:pPr>
          <a:r>
            <a:rPr lang="es-EC" sz="1000" kern="1200"/>
            <a:t>TTIK - Tiempo total de interrupción de servicio a nivel de cabecera de alimentador (urbano y rural).</a:t>
          </a:r>
        </a:p>
      </xdr:txBody>
    </xdr:sp>
    <xdr:clientData/>
  </xdr:twoCellAnchor>
  <xdr:twoCellAnchor>
    <xdr:from>
      <xdr:col>6</xdr:col>
      <xdr:colOff>85610</xdr:colOff>
      <xdr:row>33</xdr:row>
      <xdr:rowOff>50004</xdr:rowOff>
    </xdr:from>
    <xdr:to>
      <xdr:col>7</xdr:col>
      <xdr:colOff>47626</xdr:colOff>
      <xdr:row>37</xdr:row>
      <xdr:rowOff>0</xdr:rowOff>
    </xdr:to>
    <xdr:sp macro="" textlink="">
      <xdr:nvSpPr>
        <xdr:cNvPr id="16" name="17 Forma libre">
          <a:extLst>
            <a:ext uri="{FF2B5EF4-FFF2-40B4-BE49-F238E27FC236}">
              <a16:creationId xmlns:a16="http://schemas.microsoft.com/office/drawing/2014/main" id="{00000000-0008-0000-1F00-000010000000}"/>
            </a:ext>
          </a:extLst>
        </xdr:cNvPr>
        <xdr:cNvSpPr/>
      </xdr:nvSpPr>
      <xdr:spPr>
        <a:xfrm>
          <a:off x="4200410" y="4136229"/>
          <a:ext cx="647816" cy="445296"/>
        </a:xfrm>
        <a:custGeom>
          <a:avLst/>
          <a:gdLst>
            <a:gd name="connsiteX0" fmla="*/ 0 w 765586"/>
            <a:gd name="connsiteY0" fmla="*/ 49342 h 296044"/>
            <a:gd name="connsiteX1" fmla="*/ 49342 w 765586"/>
            <a:gd name="connsiteY1" fmla="*/ 0 h 296044"/>
            <a:gd name="connsiteX2" fmla="*/ 716244 w 765586"/>
            <a:gd name="connsiteY2" fmla="*/ 0 h 296044"/>
            <a:gd name="connsiteX3" fmla="*/ 765586 w 765586"/>
            <a:gd name="connsiteY3" fmla="*/ 49342 h 296044"/>
            <a:gd name="connsiteX4" fmla="*/ 765586 w 765586"/>
            <a:gd name="connsiteY4" fmla="*/ 246702 h 296044"/>
            <a:gd name="connsiteX5" fmla="*/ 716244 w 765586"/>
            <a:gd name="connsiteY5" fmla="*/ 296044 h 296044"/>
            <a:gd name="connsiteX6" fmla="*/ 49342 w 765586"/>
            <a:gd name="connsiteY6" fmla="*/ 296044 h 296044"/>
            <a:gd name="connsiteX7" fmla="*/ 0 w 765586"/>
            <a:gd name="connsiteY7" fmla="*/ 246702 h 296044"/>
            <a:gd name="connsiteX8" fmla="*/ 0 w 765586"/>
            <a:gd name="connsiteY8" fmla="*/ 49342 h 296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586" h="296044">
              <a:moveTo>
                <a:pt x="0" y="49342"/>
              </a:moveTo>
              <a:cubicBezTo>
                <a:pt x="0" y="22091"/>
                <a:pt x="22091" y="0"/>
                <a:pt x="49342" y="0"/>
              </a:cubicBezTo>
              <a:lnTo>
                <a:pt x="716244" y="0"/>
              </a:lnTo>
              <a:cubicBezTo>
                <a:pt x="743495" y="0"/>
                <a:pt x="765586" y="22091"/>
                <a:pt x="765586" y="49342"/>
              </a:cubicBezTo>
              <a:lnTo>
                <a:pt x="765586" y="246702"/>
              </a:lnTo>
              <a:cubicBezTo>
                <a:pt x="765586" y="273953"/>
                <a:pt x="743495" y="296044"/>
                <a:pt x="716244" y="296044"/>
              </a:cubicBezTo>
              <a:lnTo>
                <a:pt x="49342" y="296044"/>
              </a:lnTo>
              <a:cubicBezTo>
                <a:pt x="22091" y="296044"/>
                <a:pt x="0" y="273953"/>
                <a:pt x="0" y="246702"/>
              </a:cubicBezTo>
              <a:lnTo>
                <a:pt x="0" y="4934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7792" tIns="41122" rIns="67792" bIns="41122" numCol="1" spcCol="1270" anchor="ctr" anchorCtr="0">
          <a:noAutofit/>
        </a:bodyPr>
        <a:lstStyle/>
        <a:p>
          <a:pPr lvl="0" algn="ctr" defTabSz="622300">
            <a:lnSpc>
              <a:spcPct val="90000"/>
            </a:lnSpc>
            <a:spcBef>
              <a:spcPct val="0"/>
            </a:spcBef>
            <a:spcAft>
              <a:spcPct val="35000"/>
            </a:spcAft>
          </a:pPr>
          <a:r>
            <a:rPr lang="es-EC" sz="1400" kern="1200"/>
            <a:t>10</a:t>
          </a:r>
        </a:p>
      </xdr:txBody>
    </xdr:sp>
    <xdr:clientData/>
  </xdr:twoCellAnchor>
  <xdr:twoCellAnchor>
    <xdr:from>
      <xdr:col>7</xdr:col>
      <xdr:colOff>157959</xdr:colOff>
      <xdr:row>37</xdr:row>
      <xdr:rowOff>108312</xdr:rowOff>
    </xdr:from>
    <xdr:to>
      <xdr:col>10</xdr:col>
      <xdr:colOff>460470</xdr:colOff>
      <xdr:row>41</xdr:row>
      <xdr:rowOff>95250</xdr:rowOff>
    </xdr:to>
    <xdr:sp macro="" textlink="">
      <xdr:nvSpPr>
        <xdr:cNvPr id="17" name="18 Forma libre">
          <a:hlinkClick xmlns:r="http://schemas.openxmlformats.org/officeDocument/2006/relationships" r:id="rId2"/>
          <a:extLst>
            <a:ext uri="{FF2B5EF4-FFF2-40B4-BE49-F238E27FC236}">
              <a16:creationId xmlns:a16="http://schemas.microsoft.com/office/drawing/2014/main" id="{00000000-0008-0000-1F00-000011000000}"/>
            </a:ext>
          </a:extLst>
        </xdr:cNvPr>
        <xdr:cNvSpPr/>
      </xdr:nvSpPr>
      <xdr:spPr>
        <a:xfrm>
          <a:off x="4958559" y="4689837"/>
          <a:ext cx="2359911" cy="482238"/>
        </a:xfrm>
        <a:custGeom>
          <a:avLst/>
          <a:gdLst>
            <a:gd name="connsiteX0" fmla="*/ 57850 w 347091"/>
            <a:gd name="connsiteY0" fmla="*/ 0 h 3704546"/>
            <a:gd name="connsiteX1" fmla="*/ 289241 w 347091"/>
            <a:gd name="connsiteY1" fmla="*/ 0 h 3704546"/>
            <a:gd name="connsiteX2" fmla="*/ 347091 w 347091"/>
            <a:gd name="connsiteY2" fmla="*/ 57850 h 3704546"/>
            <a:gd name="connsiteX3" fmla="*/ 347091 w 347091"/>
            <a:gd name="connsiteY3" fmla="*/ 3704546 h 3704546"/>
            <a:gd name="connsiteX4" fmla="*/ 347091 w 347091"/>
            <a:gd name="connsiteY4" fmla="*/ 3704546 h 3704546"/>
            <a:gd name="connsiteX5" fmla="*/ 0 w 347091"/>
            <a:gd name="connsiteY5" fmla="*/ 3704546 h 3704546"/>
            <a:gd name="connsiteX6" fmla="*/ 0 w 347091"/>
            <a:gd name="connsiteY6" fmla="*/ 3704546 h 3704546"/>
            <a:gd name="connsiteX7" fmla="*/ 0 w 347091"/>
            <a:gd name="connsiteY7" fmla="*/ 57850 h 3704546"/>
            <a:gd name="connsiteX8" fmla="*/ 57850 w 347091"/>
            <a:gd name="connsiteY8" fmla="*/ 0 h 3704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04546">
              <a:moveTo>
                <a:pt x="347091" y="617444"/>
              </a:moveTo>
              <a:lnTo>
                <a:pt x="347091" y="3087102"/>
              </a:lnTo>
              <a:cubicBezTo>
                <a:pt x="347091" y="3428107"/>
                <a:pt x="344664" y="3704541"/>
                <a:pt x="341671" y="3704541"/>
              </a:cubicBezTo>
              <a:lnTo>
                <a:pt x="0" y="3704541"/>
              </a:lnTo>
              <a:lnTo>
                <a:pt x="0" y="3704541"/>
              </a:lnTo>
              <a:lnTo>
                <a:pt x="0" y="5"/>
              </a:lnTo>
              <a:lnTo>
                <a:pt x="0" y="5"/>
              </a:lnTo>
              <a:lnTo>
                <a:pt x="341671" y="5"/>
              </a:lnTo>
              <a:cubicBezTo>
                <a:pt x="344664" y="5"/>
                <a:pt x="347091" y="276439"/>
                <a:pt x="347091" y="617444"/>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769"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a:t>FMIK - Frecuencia media de interrupción por kVA instalado en el sistema de media tensión</a:t>
          </a:r>
        </a:p>
      </xdr:txBody>
    </xdr:sp>
    <xdr:clientData/>
  </xdr:twoCellAnchor>
  <xdr:twoCellAnchor>
    <xdr:from>
      <xdr:col>6</xdr:col>
      <xdr:colOff>87636</xdr:colOff>
      <xdr:row>37</xdr:row>
      <xdr:rowOff>114300</xdr:rowOff>
    </xdr:from>
    <xdr:to>
      <xdr:col>7</xdr:col>
      <xdr:colOff>19050</xdr:colOff>
      <xdr:row>41</xdr:row>
      <xdr:rowOff>48624</xdr:rowOff>
    </xdr:to>
    <xdr:sp macro="" textlink="">
      <xdr:nvSpPr>
        <xdr:cNvPr id="18" name="19 Forma libre">
          <a:extLst>
            <a:ext uri="{FF2B5EF4-FFF2-40B4-BE49-F238E27FC236}">
              <a16:creationId xmlns:a16="http://schemas.microsoft.com/office/drawing/2014/main" id="{00000000-0008-0000-1F00-000012000000}"/>
            </a:ext>
          </a:extLst>
        </xdr:cNvPr>
        <xdr:cNvSpPr/>
      </xdr:nvSpPr>
      <xdr:spPr>
        <a:xfrm>
          <a:off x="4202436" y="4695825"/>
          <a:ext cx="617214" cy="429624"/>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102082"/>
            <a:satOff val="-1464"/>
            <a:lumOff val="8538"/>
            <a:alphaOff val="0"/>
          </a:schemeClr>
        </a:fillRef>
        <a:effectRef idx="0">
          <a:schemeClr val="accent1">
            <a:shade val="80000"/>
            <a:hueOff val="102082"/>
            <a:satOff val="-1464"/>
            <a:lumOff val="8538"/>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11</a:t>
          </a:r>
        </a:p>
      </xdr:txBody>
    </xdr:sp>
    <xdr:clientData/>
  </xdr:twoCellAnchor>
  <xdr:twoCellAnchor>
    <xdr:from>
      <xdr:col>6</xdr:col>
      <xdr:colOff>76200</xdr:colOff>
      <xdr:row>30</xdr:row>
      <xdr:rowOff>57150</xdr:rowOff>
    </xdr:from>
    <xdr:to>
      <xdr:col>10</xdr:col>
      <xdr:colOff>590550</xdr:colOff>
      <xdr:row>32</xdr:row>
      <xdr:rowOff>57150</xdr:rowOff>
    </xdr:to>
    <xdr:sp macro="" textlink="">
      <xdr:nvSpPr>
        <xdr:cNvPr id="20" name="22 Rectángulo">
          <a:extLst>
            <a:ext uri="{FF2B5EF4-FFF2-40B4-BE49-F238E27FC236}">
              <a16:creationId xmlns:a16="http://schemas.microsoft.com/office/drawing/2014/main" id="{00000000-0008-0000-1F00-000014000000}"/>
            </a:ext>
          </a:extLst>
        </xdr:cNvPr>
        <xdr:cNvSpPr/>
      </xdr:nvSpPr>
      <xdr:spPr>
        <a:xfrm>
          <a:off x="4191000" y="3771900"/>
          <a:ext cx="325755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000"/>
            <a:t>Incrementar la confiabiliadad del sistema.</a:t>
          </a:r>
        </a:p>
      </xdr:txBody>
    </xdr:sp>
    <xdr:clientData/>
  </xdr:twoCellAnchor>
  <xdr:twoCellAnchor>
    <xdr:from>
      <xdr:col>6</xdr:col>
      <xdr:colOff>171450</xdr:colOff>
      <xdr:row>5</xdr:row>
      <xdr:rowOff>0</xdr:rowOff>
    </xdr:from>
    <xdr:to>
      <xdr:col>7</xdr:col>
      <xdr:colOff>171301</xdr:colOff>
      <xdr:row>8</xdr:row>
      <xdr:rowOff>89191</xdr:rowOff>
    </xdr:to>
    <xdr:sp macro="" textlink="">
      <xdr:nvSpPr>
        <xdr:cNvPr id="30" name="17 Forma libre">
          <a:extLst>
            <a:ext uri="{FF2B5EF4-FFF2-40B4-BE49-F238E27FC236}">
              <a16:creationId xmlns:a16="http://schemas.microsoft.com/office/drawing/2014/main" id="{00000000-0008-0000-1F00-00001E000000}"/>
            </a:ext>
          </a:extLst>
        </xdr:cNvPr>
        <xdr:cNvSpPr/>
      </xdr:nvSpPr>
      <xdr:spPr>
        <a:xfrm>
          <a:off x="4286250" y="619125"/>
          <a:ext cx="685651" cy="460666"/>
        </a:xfrm>
        <a:custGeom>
          <a:avLst/>
          <a:gdLst>
            <a:gd name="connsiteX0" fmla="*/ 0 w 765586"/>
            <a:gd name="connsiteY0" fmla="*/ 49342 h 296044"/>
            <a:gd name="connsiteX1" fmla="*/ 49342 w 765586"/>
            <a:gd name="connsiteY1" fmla="*/ 0 h 296044"/>
            <a:gd name="connsiteX2" fmla="*/ 716244 w 765586"/>
            <a:gd name="connsiteY2" fmla="*/ 0 h 296044"/>
            <a:gd name="connsiteX3" fmla="*/ 765586 w 765586"/>
            <a:gd name="connsiteY3" fmla="*/ 49342 h 296044"/>
            <a:gd name="connsiteX4" fmla="*/ 765586 w 765586"/>
            <a:gd name="connsiteY4" fmla="*/ 246702 h 296044"/>
            <a:gd name="connsiteX5" fmla="*/ 716244 w 765586"/>
            <a:gd name="connsiteY5" fmla="*/ 296044 h 296044"/>
            <a:gd name="connsiteX6" fmla="*/ 49342 w 765586"/>
            <a:gd name="connsiteY6" fmla="*/ 296044 h 296044"/>
            <a:gd name="connsiteX7" fmla="*/ 0 w 765586"/>
            <a:gd name="connsiteY7" fmla="*/ 246702 h 296044"/>
            <a:gd name="connsiteX8" fmla="*/ 0 w 765586"/>
            <a:gd name="connsiteY8" fmla="*/ 49342 h 296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586" h="296044">
              <a:moveTo>
                <a:pt x="0" y="49342"/>
              </a:moveTo>
              <a:cubicBezTo>
                <a:pt x="0" y="22091"/>
                <a:pt x="22091" y="0"/>
                <a:pt x="49342" y="0"/>
              </a:cubicBezTo>
              <a:lnTo>
                <a:pt x="716244" y="0"/>
              </a:lnTo>
              <a:cubicBezTo>
                <a:pt x="743495" y="0"/>
                <a:pt x="765586" y="22091"/>
                <a:pt x="765586" y="49342"/>
              </a:cubicBezTo>
              <a:lnTo>
                <a:pt x="765586" y="246702"/>
              </a:lnTo>
              <a:cubicBezTo>
                <a:pt x="765586" y="273953"/>
                <a:pt x="743495" y="296044"/>
                <a:pt x="716244" y="296044"/>
              </a:cubicBezTo>
              <a:lnTo>
                <a:pt x="49342" y="296044"/>
              </a:lnTo>
              <a:cubicBezTo>
                <a:pt x="22091" y="296044"/>
                <a:pt x="0" y="273953"/>
                <a:pt x="0" y="246702"/>
              </a:cubicBezTo>
              <a:lnTo>
                <a:pt x="0" y="49342"/>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7792" tIns="41122" rIns="67792" bIns="41122" numCol="1" spcCol="1270" anchor="ctr" anchorCtr="0">
          <a:noAutofit/>
        </a:bodyPr>
        <a:lstStyle/>
        <a:p>
          <a:pPr lvl="0" algn="ctr" defTabSz="622300">
            <a:lnSpc>
              <a:spcPct val="90000"/>
            </a:lnSpc>
            <a:spcBef>
              <a:spcPct val="0"/>
            </a:spcBef>
            <a:spcAft>
              <a:spcPct val="35000"/>
            </a:spcAft>
          </a:pPr>
          <a:r>
            <a:rPr lang="es-EC" sz="1400" kern="1200"/>
            <a:t>1</a:t>
          </a:r>
        </a:p>
      </xdr:txBody>
    </xdr:sp>
    <xdr:clientData/>
  </xdr:twoCellAnchor>
  <xdr:twoCellAnchor>
    <xdr:from>
      <xdr:col>6</xdr:col>
      <xdr:colOff>173477</xdr:colOff>
      <xdr:row>8</xdr:row>
      <xdr:rowOff>119696</xdr:rowOff>
    </xdr:from>
    <xdr:to>
      <xdr:col>7</xdr:col>
      <xdr:colOff>177125</xdr:colOff>
      <xdr:row>12</xdr:row>
      <xdr:rowOff>55770</xdr:rowOff>
    </xdr:to>
    <xdr:sp macro="" textlink="">
      <xdr:nvSpPr>
        <xdr:cNvPr id="32" name="19 Forma libre">
          <a:extLst>
            <a:ext uri="{FF2B5EF4-FFF2-40B4-BE49-F238E27FC236}">
              <a16:creationId xmlns:a16="http://schemas.microsoft.com/office/drawing/2014/main" id="{00000000-0008-0000-1F00-000020000000}"/>
            </a:ext>
          </a:extLst>
        </xdr:cNvPr>
        <xdr:cNvSpPr/>
      </xdr:nvSpPr>
      <xdr:spPr>
        <a:xfrm>
          <a:off x="4288277" y="1110296"/>
          <a:ext cx="689448" cy="431374"/>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102082"/>
            <a:satOff val="-1464"/>
            <a:lumOff val="8538"/>
            <a:alphaOff val="0"/>
          </a:schemeClr>
        </a:fillRef>
        <a:effectRef idx="0">
          <a:schemeClr val="accent1">
            <a:shade val="80000"/>
            <a:hueOff val="102082"/>
            <a:satOff val="-1464"/>
            <a:lumOff val="8538"/>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2</a:t>
          </a:r>
        </a:p>
      </xdr:txBody>
    </xdr:sp>
    <xdr:clientData/>
  </xdr:twoCellAnchor>
  <xdr:twoCellAnchor>
    <xdr:from>
      <xdr:col>6</xdr:col>
      <xdr:colOff>114300</xdr:colOff>
      <xdr:row>2</xdr:row>
      <xdr:rowOff>9525</xdr:rowOff>
    </xdr:from>
    <xdr:to>
      <xdr:col>10</xdr:col>
      <xdr:colOff>628650</xdr:colOff>
      <xdr:row>4</xdr:row>
      <xdr:rowOff>9525</xdr:rowOff>
    </xdr:to>
    <xdr:sp macro="" textlink="">
      <xdr:nvSpPr>
        <xdr:cNvPr id="33" name="20 Rectángulo">
          <a:extLst>
            <a:ext uri="{FF2B5EF4-FFF2-40B4-BE49-F238E27FC236}">
              <a16:creationId xmlns:a16="http://schemas.microsoft.com/office/drawing/2014/main" id="{00000000-0008-0000-1F00-000021000000}"/>
            </a:ext>
          </a:extLst>
        </xdr:cNvPr>
        <xdr:cNvSpPr/>
      </xdr:nvSpPr>
      <xdr:spPr>
        <a:xfrm>
          <a:off x="4229100" y="257175"/>
          <a:ext cx="325755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000"/>
            <a:t>GESTIÓN</a:t>
          </a:r>
          <a:r>
            <a:rPr lang="es-EC" sz="1000" baseline="0"/>
            <a:t> EN GENERACIÓN</a:t>
          </a:r>
          <a:endParaRPr lang="es-EC" sz="1000"/>
        </a:p>
      </xdr:txBody>
    </xdr:sp>
    <xdr:clientData/>
  </xdr:twoCellAnchor>
  <xdr:oneCellAnchor>
    <xdr:from>
      <xdr:col>1</xdr:col>
      <xdr:colOff>152401</xdr:colOff>
      <xdr:row>25</xdr:row>
      <xdr:rowOff>18792</xdr:rowOff>
    </xdr:from>
    <xdr:ext cx="3219449" cy="1035552"/>
    <xdr:sp macro="" textlink="">
      <xdr:nvSpPr>
        <xdr:cNvPr id="36" name="3 Rectángulo">
          <a:extLst>
            <a:ext uri="{FF2B5EF4-FFF2-40B4-BE49-F238E27FC236}">
              <a16:creationId xmlns:a16="http://schemas.microsoft.com/office/drawing/2014/main" id="{00000000-0008-0000-1F00-000024000000}"/>
            </a:ext>
          </a:extLst>
        </xdr:cNvPr>
        <xdr:cNvSpPr/>
      </xdr:nvSpPr>
      <xdr:spPr>
        <a:xfrm>
          <a:off x="838201" y="3114417"/>
          <a:ext cx="3219449" cy="1035552"/>
        </a:xfrm>
        <a:prstGeom prst="rect">
          <a:avLst/>
        </a:prstGeom>
        <a:noFill/>
      </xdr:spPr>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ELECGALAPAGOS</a:t>
          </a:r>
        </a:p>
      </xdr:txBody>
    </xdr:sp>
    <xdr:clientData/>
  </xdr:oneCellAnchor>
  <xdr:twoCellAnchor>
    <xdr:from>
      <xdr:col>4</xdr:col>
      <xdr:colOff>628651</xdr:colOff>
      <xdr:row>1</xdr:row>
      <xdr:rowOff>104775</xdr:rowOff>
    </xdr:from>
    <xdr:to>
      <xdr:col>5</xdr:col>
      <xdr:colOff>650789</xdr:colOff>
      <xdr:row>5</xdr:row>
      <xdr:rowOff>63744</xdr:rowOff>
    </xdr:to>
    <xdr:pic>
      <xdr:nvPicPr>
        <xdr:cNvPr id="38" name="21 Imagen" descr="Disposición nuevo logo CENTROSUR">
          <a:extLst>
            <a:ext uri="{FF2B5EF4-FFF2-40B4-BE49-F238E27FC236}">
              <a16:creationId xmlns:a16="http://schemas.microsoft.com/office/drawing/2014/main" id="{00000000-0008-0000-1F00-00002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36" t="2092" r="49688" b="4549"/>
        <a:stretch/>
      </xdr:blipFill>
      <xdr:spPr bwMode="auto">
        <a:xfrm>
          <a:off x="3371851" y="228600"/>
          <a:ext cx="707938" cy="45426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409577</xdr:colOff>
      <xdr:row>15</xdr:row>
      <xdr:rowOff>35169</xdr:rowOff>
    </xdr:from>
    <xdr:to>
      <xdr:col>4</xdr:col>
      <xdr:colOff>600075</xdr:colOff>
      <xdr:row>21</xdr:row>
      <xdr:rowOff>101844</xdr:rowOff>
    </xdr:to>
    <xdr:pic>
      <xdr:nvPicPr>
        <xdr:cNvPr id="40" name="Imagen 39" descr="C:\Users\SAT\Pictures\EEG.jpg">
          <a:extLst>
            <a:ext uri="{FF2B5EF4-FFF2-40B4-BE49-F238E27FC236}">
              <a16:creationId xmlns:a16="http://schemas.microsoft.com/office/drawing/2014/main" id="{00000000-0008-0000-1F00-000028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81177" y="1892544"/>
          <a:ext cx="1562098" cy="809625"/>
        </a:xfrm>
        <a:prstGeom prst="rect">
          <a:avLst/>
        </a:prstGeom>
        <a:noFill/>
        <a:ln>
          <a:noFill/>
        </a:ln>
      </xdr:spPr>
    </xdr:pic>
    <xdr:clientData/>
  </xdr:twoCellAnchor>
  <xdr:twoCellAnchor editAs="oneCell">
    <xdr:from>
      <xdr:col>1</xdr:col>
      <xdr:colOff>47625</xdr:colOff>
      <xdr:row>1</xdr:row>
      <xdr:rowOff>111369</xdr:rowOff>
    </xdr:from>
    <xdr:to>
      <xdr:col>2</xdr:col>
      <xdr:colOff>133350</xdr:colOff>
      <xdr:row>5</xdr:row>
      <xdr:rowOff>101844</xdr:rowOff>
    </xdr:to>
    <xdr:pic>
      <xdr:nvPicPr>
        <xdr:cNvPr id="41" name="Imagen 40" descr="C:\Users\SAT\Pictures\EEG.jpg">
          <a:extLst>
            <a:ext uri="{FF2B5EF4-FFF2-40B4-BE49-F238E27FC236}">
              <a16:creationId xmlns:a16="http://schemas.microsoft.com/office/drawing/2014/main" id="{00000000-0008-0000-1F00-00002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3425" y="235194"/>
          <a:ext cx="771525" cy="485775"/>
        </a:xfrm>
        <a:prstGeom prst="rect">
          <a:avLst/>
        </a:prstGeom>
        <a:noFill/>
        <a:ln>
          <a:noFill/>
        </a:ln>
      </xdr:spPr>
    </xdr:pic>
    <xdr:clientData/>
  </xdr:twoCellAnchor>
  <xdr:twoCellAnchor>
    <xdr:from>
      <xdr:col>11</xdr:col>
      <xdr:colOff>238126</xdr:colOff>
      <xdr:row>0</xdr:row>
      <xdr:rowOff>95250</xdr:rowOff>
    </xdr:from>
    <xdr:to>
      <xdr:col>11</xdr:col>
      <xdr:colOff>561976</xdr:colOff>
      <xdr:row>3</xdr:row>
      <xdr:rowOff>9525</xdr:rowOff>
    </xdr:to>
    <xdr:grpSp>
      <xdr:nvGrpSpPr>
        <xdr:cNvPr id="34" name="16 Grupo">
          <a:hlinkClick xmlns:r="http://schemas.openxmlformats.org/officeDocument/2006/relationships" r:id="rId6"/>
          <a:extLst>
            <a:ext uri="{FF2B5EF4-FFF2-40B4-BE49-F238E27FC236}">
              <a16:creationId xmlns:a16="http://schemas.microsoft.com/office/drawing/2014/main" id="{00000000-0008-0000-1F00-000022000000}"/>
            </a:ext>
          </a:extLst>
        </xdr:cNvPr>
        <xdr:cNvGrpSpPr/>
      </xdr:nvGrpSpPr>
      <xdr:grpSpPr>
        <a:xfrm>
          <a:off x="7818783" y="86139"/>
          <a:ext cx="326887" cy="267253"/>
          <a:chOff x="9791700" y="781050"/>
          <a:chExt cx="390525" cy="381000"/>
        </a:xfrm>
      </xdr:grpSpPr>
      <xdr:sp macro="" textlink="">
        <xdr:nvSpPr>
          <xdr:cNvPr id="35" name="7 Elipse">
            <a:extLst>
              <a:ext uri="{FF2B5EF4-FFF2-40B4-BE49-F238E27FC236}">
                <a16:creationId xmlns:a16="http://schemas.microsoft.com/office/drawing/2014/main" id="{00000000-0008-0000-1F00-000023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42" name="14 Flecha derecha">
            <a:extLst>
              <a:ext uri="{FF2B5EF4-FFF2-40B4-BE49-F238E27FC236}">
                <a16:creationId xmlns:a16="http://schemas.microsoft.com/office/drawing/2014/main" id="{00000000-0008-0000-1F00-00002A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twoCellAnchor>
    <xdr:from>
      <xdr:col>6</xdr:col>
      <xdr:colOff>163952</xdr:colOff>
      <xdr:row>12</xdr:row>
      <xdr:rowOff>110171</xdr:rowOff>
    </xdr:from>
    <xdr:to>
      <xdr:col>7</xdr:col>
      <xdr:colOff>167600</xdr:colOff>
      <xdr:row>16</xdr:row>
      <xdr:rowOff>46245</xdr:rowOff>
    </xdr:to>
    <xdr:sp macro="" textlink="">
      <xdr:nvSpPr>
        <xdr:cNvPr id="44" name="19 Forma libre">
          <a:extLst>
            <a:ext uri="{FF2B5EF4-FFF2-40B4-BE49-F238E27FC236}">
              <a16:creationId xmlns:a16="http://schemas.microsoft.com/office/drawing/2014/main" id="{00000000-0008-0000-1F00-00002C000000}"/>
            </a:ext>
          </a:extLst>
        </xdr:cNvPr>
        <xdr:cNvSpPr/>
      </xdr:nvSpPr>
      <xdr:spPr>
        <a:xfrm>
          <a:off x="4278752" y="1596071"/>
          <a:ext cx="689448" cy="431374"/>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102082"/>
            <a:satOff val="-1464"/>
            <a:lumOff val="8538"/>
            <a:alphaOff val="0"/>
          </a:schemeClr>
        </a:fillRef>
        <a:effectRef idx="0">
          <a:schemeClr val="accent1">
            <a:shade val="80000"/>
            <a:hueOff val="102082"/>
            <a:satOff val="-1464"/>
            <a:lumOff val="8538"/>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22</a:t>
          </a:r>
        </a:p>
      </xdr:txBody>
    </xdr:sp>
    <xdr:clientData/>
  </xdr:twoCellAnchor>
  <xdr:twoCellAnchor>
    <xdr:from>
      <xdr:col>6</xdr:col>
      <xdr:colOff>57150</xdr:colOff>
      <xdr:row>23</xdr:row>
      <xdr:rowOff>76200</xdr:rowOff>
    </xdr:from>
    <xdr:to>
      <xdr:col>10</xdr:col>
      <xdr:colOff>571500</xdr:colOff>
      <xdr:row>25</xdr:row>
      <xdr:rowOff>76200</xdr:rowOff>
    </xdr:to>
    <xdr:sp macro="" textlink="">
      <xdr:nvSpPr>
        <xdr:cNvPr id="46" name="20 Rectángulo">
          <a:extLst>
            <a:ext uri="{FF2B5EF4-FFF2-40B4-BE49-F238E27FC236}">
              <a16:creationId xmlns:a16="http://schemas.microsoft.com/office/drawing/2014/main" id="{00000000-0008-0000-1F00-00002E000000}"/>
            </a:ext>
          </a:extLst>
        </xdr:cNvPr>
        <xdr:cNvSpPr/>
      </xdr:nvSpPr>
      <xdr:spPr>
        <a:xfrm>
          <a:off x="4171950" y="2924175"/>
          <a:ext cx="325755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000"/>
            <a:t>Incrementar</a:t>
          </a:r>
          <a:r>
            <a:rPr lang="es-EC" sz="1000" baseline="0"/>
            <a:t> la eficiencia operacional</a:t>
          </a:r>
        </a:p>
        <a:p>
          <a:pPr algn="l"/>
          <a:endParaRPr lang="es-EC" sz="1000"/>
        </a:p>
      </xdr:txBody>
    </xdr:sp>
    <xdr:clientData/>
  </xdr:twoCellAnchor>
  <xdr:twoCellAnchor>
    <xdr:from>
      <xdr:col>6</xdr:col>
      <xdr:colOff>85725</xdr:colOff>
      <xdr:row>17</xdr:row>
      <xdr:rowOff>47625</xdr:rowOff>
    </xdr:from>
    <xdr:to>
      <xdr:col>10</xdr:col>
      <xdr:colOff>600075</xdr:colOff>
      <xdr:row>19</xdr:row>
      <xdr:rowOff>47625</xdr:rowOff>
    </xdr:to>
    <xdr:sp macro="" textlink="">
      <xdr:nvSpPr>
        <xdr:cNvPr id="47" name="20 Rectángulo">
          <a:extLst>
            <a:ext uri="{FF2B5EF4-FFF2-40B4-BE49-F238E27FC236}">
              <a16:creationId xmlns:a16="http://schemas.microsoft.com/office/drawing/2014/main" id="{00000000-0008-0000-1F00-00002F000000}"/>
            </a:ext>
          </a:extLst>
        </xdr:cNvPr>
        <xdr:cNvSpPr/>
      </xdr:nvSpPr>
      <xdr:spPr>
        <a:xfrm>
          <a:off x="4200525" y="2152650"/>
          <a:ext cx="325755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000"/>
            <a:t>Energía</a:t>
          </a:r>
          <a:r>
            <a:rPr lang="es-EC" sz="1000" baseline="0"/>
            <a:t> Facturada</a:t>
          </a:r>
          <a:endParaRPr lang="es-EC" sz="1000"/>
        </a:p>
      </xdr:txBody>
    </xdr:sp>
    <xdr:clientData/>
  </xdr:twoCellAnchor>
  <xdr:twoCellAnchor>
    <xdr:from>
      <xdr:col>7</xdr:col>
      <xdr:colOff>177126</xdr:colOff>
      <xdr:row>20</xdr:row>
      <xdr:rowOff>39258</xdr:rowOff>
    </xdr:from>
    <xdr:to>
      <xdr:col>10</xdr:col>
      <xdr:colOff>447675</xdr:colOff>
      <xdr:row>22</xdr:row>
      <xdr:rowOff>104775</xdr:rowOff>
    </xdr:to>
    <xdr:sp macro="" textlink="">
      <xdr:nvSpPr>
        <xdr:cNvPr id="48" name="18 Forma libre">
          <a:hlinkClick xmlns:r="http://schemas.openxmlformats.org/officeDocument/2006/relationships" r:id="rId7"/>
          <a:extLst>
            <a:ext uri="{FF2B5EF4-FFF2-40B4-BE49-F238E27FC236}">
              <a16:creationId xmlns:a16="http://schemas.microsoft.com/office/drawing/2014/main" id="{00000000-0008-0000-1F00-000030000000}"/>
            </a:ext>
          </a:extLst>
        </xdr:cNvPr>
        <xdr:cNvSpPr/>
      </xdr:nvSpPr>
      <xdr:spPr>
        <a:xfrm>
          <a:off x="4977726" y="2515758"/>
          <a:ext cx="2327949" cy="313167"/>
        </a:xfrm>
        <a:custGeom>
          <a:avLst/>
          <a:gdLst>
            <a:gd name="connsiteX0" fmla="*/ 57850 w 347091"/>
            <a:gd name="connsiteY0" fmla="*/ 0 h 3704546"/>
            <a:gd name="connsiteX1" fmla="*/ 289241 w 347091"/>
            <a:gd name="connsiteY1" fmla="*/ 0 h 3704546"/>
            <a:gd name="connsiteX2" fmla="*/ 347091 w 347091"/>
            <a:gd name="connsiteY2" fmla="*/ 57850 h 3704546"/>
            <a:gd name="connsiteX3" fmla="*/ 347091 w 347091"/>
            <a:gd name="connsiteY3" fmla="*/ 3704546 h 3704546"/>
            <a:gd name="connsiteX4" fmla="*/ 347091 w 347091"/>
            <a:gd name="connsiteY4" fmla="*/ 3704546 h 3704546"/>
            <a:gd name="connsiteX5" fmla="*/ 0 w 347091"/>
            <a:gd name="connsiteY5" fmla="*/ 3704546 h 3704546"/>
            <a:gd name="connsiteX6" fmla="*/ 0 w 347091"/>
            <a:gd name="connsiteY6" fmla="*/ 3704546 h 3704546"/>
            <a:gd name="connsiteX7" fmla="*/ 0 w 347091"/>
            <a:gd name="connsiteY7" fmla="*/ 57850 h 3704546"/>
            <a:gd name="connsiteX8" fmla="*/ 57850 w 347091"/>
            <a:gd name="connsiteY8" fmla="*/ 0 h 3704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04546">
              <a:moveTo>
                <a:pt x="347091" y="617444"/>
              </a:moveTo>
              <a:lnTo>
                <a:pt x="347091" y="3087102"/>
              </a:lnTo>
              <a:cubicBezTo>
                <a:pt x="347091" y="3428107"/>
                <a:pt x="344664" y="3704541"/>
                <a:pt x="341671" y="3704541"/>
              </a:cubicBezTo>
              <a:lnTo>
                <a:pt x="0" y="3704541"/>
              </a:lnTo>
              <a:lnTo>
                <a:pt x="0" y="3704541"/>
              </a:lnTo>
              <a:lnTo>
                <a:pt x="0" y="5"/>
              </a:lnTo>
              <a:lnTo>
                <a:pt x="0" y="5"/>
              </a:lnTo>
              <a:lnTo>
                <a:pt x="341671" y="5"/>
              </a:lnTo>
              <a:cubicBezTo>
                <a:pt x="344664" y="5"/>
                <a:pt x="347091" y="276439"/>
                <a:pt x="347091" y="617444"/>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769" rIns="264594" bIns="140770" numCol="1" spcCol="1270" anchor="ctr" anchorCtr="0">
          <a:noAutofit/>
        </a:bodyPr>
        <a:lstStyle/>
        <a:p>
          <a:pPr marL="57150" marR="0" lvl="1" indent="-57150" algn="l" defTabSz="444500" eaLnBrk="1" fontAlgn="auto" latinLnBrk="0" hangingPunct="1">
            <a:lnSpc>
              <a:spcPct val="90000"/>
            </a:lnSpc>
            <a:spcBef>
              <a:spcPct val="0"/>
            </a:spcBef>
            <a:spcAft>
              <a:spcPct val="15000"/>
            </a:spcAft>
            <a:buClrTx/>
            <a:buSzTx/>
            <a:buFontTx/>
            <a:buChar char="••"/>
            <a:tabLst/>
            <a:defRPr/>
          </a:pPr>
          <a:r>
            <a:rPr lang="es-EC" sz="1000">
              <a:solidFill>
                <a:schemeClr val="dk1"/>
              </a:solidFill>
              <a:effectLst/>
              <a:latin typeface="+mn-lt"/>
              <a:ea typeface="+mn-ea"/>
              <a:cs typeface="+mn-cs"/>
            </a:rPr>
            <a:t>CONSUMO DE ENERGÍA ELÉCTRICA, POR GRUPO (MWh) </a:t>
          </a:r>
        </a:p>
      </xdr:txBody>
    </xdr:sp>
    <xdr:clientData/>
  </xdr:twoCellAnchor>
  <xdr:twoCellAnchor>
    <xdr:from>
      <xdr:col>6</xdr:col>
      <xdr:colOff>116327</xdr:colOff>
      <xdr:row>20</xdr:row>
      <xdr:rowOff>1</xdr:rowOff>
    </xdr:from>
    <xdr:to>
      <xdr:col>7</xdr:col>
      <xdr:colOff>119975</xdr:colOff>
      <xdr:row>22</xdr:row>
      <xdr:rowOff>114301</xdr:rowOff>
    </xdr:to>
    <xdr:sp macro="" textlink="">
      <xdr:nvSpPr>
        <xdr:cNvPr id="49" name="19 Forma libre">
          <a:extLst>
            <a:ext uri="{FF2B5EF4-FFF2-40B4-BE49-F238E27FC236}">
              <a16:creationId xmlns:a16="http://schemas.microsoft.com/office/drawing/2014/main" id="{00000000-0008-0000-1F00-000031000000}"/>
            </a:ext>
          </a:extLst>
        </xdr:cNvPr>
        <xdr:cNvSpPr/>
      </xdr:nvSpPr>
      <xdr:spPr>
        <a:xfrm>
          <a:off x="4231127" y="2476501"/>
          <a:ext cx="689448" cy="361950"/>
        </a:xfrm>
        <a:custGeom>
          <a:avLst/>
          <a:gdLst>
            <a:gd name="connsiteX0" fmla="*/ 0 w 769383"/>
            <a:gd name="connsiteY0" fmla="*/ 72312 h 433864"/>
            <a:gd name="connsiteX1" fmla="*/ 72312 w 769383"/>
            <a:gd name="connsiteY1" fmla="*/ 0 h 433864"/>
            <a:gd name="connsiteX2" fmla="*/ 697071 w 769383"/>
            <a:gd name="connsiteY2" fmla="*/ 0 h 433864"/>
            <a:gd name="connsiteX3" fmla="*/ 769383 w 769383"/>
            <a:gd name="connsiteY3" fmla="*/ 72312 h 433864"/>
            <a:gd name="connsiteX4" fmla="*/ 769383 w 769383"/>
            <a:gd name="connsiteY4" fmla="*/ 361552 h 433864"/>
            <a:gd name="connsiteX5" fmla="*/ 697071 w 769383"/>
            <a:gd name="connsiteY5" fmla="*/ 433864 h 433864"/>
            <a:gd name="connsiteX6" fmla="*/ 72312 w 769383"/>
            <a:gd name="connsiteY6" fmla="*/ 433864 h 433864"/>
            <a:gd name="connsiteX7" fmla="*/ 0 w 769383"/>
            <a:gd name="connsiteY7" fmla="*/ 361552 h 433864"/>
            <a:gd name="connsiteX8" fmla="*/ 0 w 769383"/>
            <a:gd name="connsiteY8" fmla="*/ 72312 h 4338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9383" h="433864">
              <a:moveTo>
                <a:pt x="0" y="72312"/>
              </a:moveTo>
              <a:cubicBezTo>
                <a:pt x="0" y="32375"/>
                <a:pt x="32375" y="0"/>
                <a:pt x="72312" y="0"/>
              </a:cubicBezTo>
              <a:lnTo>
                <a:pt x="697071" y="0"/>
              </a:lnTo>
              <a:cubicBezTo>
                <a:pt x="737008" y="0"/>
                <a:pt x="769383" y="32375"/>
                <a:pt x="769383" y="72312"/>
              </a:cubicBezTo>
              <a:lnTo>
                <a:pt x="769383" y="361552"/>
              </a:lnTo>
              <a:cubicBezTo>
                <a:pt x="769383" y="401489"/>
                <a:pt x="737008" y="433864"/>
                <a:pt x="697071" y="433864"/>
              </a:cubicBezTo>
              <a:lnTo>
                <a:pt x="72312" y="433864"/>
              </a:lnTo>
              <a:cubicBezTo>
                <a:pt x="32375" y="433864"/>
                <a:pt x="0" y="401489"/>
                <a:pt x="0" y="361552"/>
              </a:cubicBezTo>
              <a:lnTo>
                <a:pt x="0" y="72312"/>
              </a:lnTo>
              <a:close/>
            </a:path>
          </a:pathLst>
        </a:custGeom>
      </xdr:spPr>
      <xdr:style>
        <a:lnRef idx="2">
          <a:schemeClr val="lt1">
            <a:hueOff val="0"/>
            <a:satOff val="0"/>
            <a:lumOff val="0"/>
            <a:alphaOff val="0"/>
          </a:schemeClr>
        </a:lnRef>
        <a:fillRef idx="1">
          <a:schemeClr val="accent1">
            <a:shade val="80000"/>
            <a:hueOff val="102082"/>
            <a:satOff val="-1464"/>
            <a:lumOff val="8538"/>
            <a:alphaOff val="0"/>
          </a:schemeClr>
        </a:fillRef>
        <a:effectRef idx="0">
          <a:schemeClr val="accent1">
            <a:shade val="80000"/>
            <a:hueOff val="102082"/>
            <a:satOff val="-1464"/>
            <a:lumOff val="8538"/>
            <a:alphaOff val="0"/>
          </a:schemeClr>
        </a:effectRef>
        <a:fontRef idx="minor">
          <a:schemeClr val="lt1"/>
        </a:fontRef>
      </xdr:style>
      <xdr:txBody>
        <a:bodyPr spcFirstLastPara="0" vert="horz" wrap="square" lIns="74519" tIns="47849" rIns="74519" bIns="47849" numCol="1" spcCol="1270" anchor="ctr" anchorCtr="0">
          <a:noAutofit/>
        </a:bodyPr>
        <a:lstStyle/>
        <a:p>
          <a:pPr lvl="0" algn="ctr" defTabSz="622300">
            <a:lnSpc>
              <a:spcPct val="90000"/>
            </a:lnSpc>
            <a:spcBef>
              <a:spcPct val="0"/>
            </a:spcBef>
            <a:spcAft>
              <a:spcPct val="35000"/>
            </a:spcAft>
          </a:pPr>
          <a:r>
            <a:rPr lang="es-EC" sz="1400" kern="1200"/>
            <a:t>3</a:t>
          </a:r>
        </a:p>
      </xdr:txBody>
    </xdr:sp>
    <xdr:clientData/>
  </xdr:twoCellAnchor>
  <xdr:oneCellAnchor>
    <xdr:from>
      <xdr:col>2</xdr:col>
      <xdr:colOff>209550</xdr:colOff>
      <xdr:row>1</xdr:row>
      <xdr:rowOff>28575</xdr:rowOff>
    </xdr:from>
    <xdr:ext cx="1657350" cy="533399"/>
    <xdr:sp macro="" textlink="">
      <xdr:nvSpPr>
        <xdr:cNvPr id="51" name="3 Rectángulo">
          <a:extLst>
            <a:ext uri="{FF2B5EF4-FFF2-40B4-BE49-F238E27FC236}">
              <a16:creationId xmlns:a16="http://schemas.microsoft.com/office/drawing/2014/main" id="{00000000-0008-0000-1F00-000033000000}"/>
            </a:ext>
          </a:extLst>
        </xdr:cNvPr>
        <xdr:cNvSpPr/>
      </xdr:nvSpPr>
      <xdr:spPr>
        <a:xfrm>
          <a:off x="1581150" y="152400"/>
          <a:ext cx="1657350" cy="533399"/>
        </a:xfrm>
        <a:prstGeom prst="rect">
          <a:avLst/>
        </a:prstGeom>
        <a:effectLst>
          <a:outerShdw blurRad="76200" dist="12700" dir="8100000" sy="-23000" kx="800400" algn="br" rotWithShape="0">
            <a:prstClr val="black">
              <a:alpha val="20000"/>
            </a:prstClr>
          </a:outerShdw>
        </a:effectLst>
      </xdr:spPr>
      <xdr:style>
        <a:lnRef idx="2">
          <a:schemeClr val="accent1"/>
        </a:lnRef>
        <a:fillRef idx="1">
          <a:schemeClr val="lt1"/>
        </a:fillRef>
        <a:effectRef idx="0">
          <a:schemeClr val="accent1"/>
        </a:effectRef>
        <a:fontRef idx="minor">
          <a:schemeClr val="dk1"/>
        </a:fontRef>
      </xdr:style>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INDICADORES </a:t>
          </a:r>
        </a:p>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DE GESTIÓN</a:t>
          </a:r>
        </a:p>
      </xdr:txBody>
    </xdr:sp>
    <xdr:clientData/>
  </xdr:oneCellAnchor>
  <xdr:twoCellAnchor>
    <xdr:from>
      <xdr:col>7</xdr:col>
      <xdr:colOff>237977</xdr:colOff>
      <xdr:row>5</xdr:row>
      <xdr:rowOff>10556</xdr:rowOff>
    </xdr:from>
    <xdr:to>
      <xdr:col>10</xdr:col>
      <xdr:colOff>487357</xdr:colOff>
      <xdr:row>8</xdr:row>
      <xdr:rowOff>38392</xdr:rowOff>
    </xdr:to>
    <xdr:sp macro="" textlink="">
      <xdr:nvSpPr>
        <xdr:cNvPr id="52" name="16 Forma libre">
          <a:hlinkClick xmlns:r="http://schemas.openxmlformats.org/officeDocument/2006/relationships" r:id="rId8"/>
          <a:extLst>
            <a:ext uri="{FF2B5EF4-FFF2-40B4-BE49-F238E27FC236}">
              <a16:creationId xmlns:a16="http://schemas.microsoft.com/office/drawing/2014/main" id="{00000000-0008-0000-1F00-000034000000}"/>
            </a:ext>
          </a:extLst>
        </xdr:cNvPr>
        <xdr:cNvSpPr/>
      </xdr:nvSpPr>
      <xdr:spPr>
        <a:xfrm>
          <a:off x="5038577" y="629681"/>
          <a:ext cx="2306780" cy="399311"/>
        </a:xfrm>
        <a:custGeom>
          <a:avLst/>
          <a:gdLst>
            <a:gd name="connsiteX0" fmla="*/ 39473 w 236835"/>
            <a:gd name="connsiteY0" fmla="*/ 0 h 3628432"/>
            <a:gd name="connsiteX1" fmla="*/ 197362 w 236835"/>
            <a:gd name="connsiteY1" fmla="*/ 0 h 3628432"/>
            <a:gd name="connsiteX2" fmla="*/ 236835 w 236835"/>
            <a:gd name="connsiteY2" fmla="*/ 39473 h 3628432"/>
            <a:gd name="connsiteX3" fmla="*/ 236835 w 236835"/>
            <a:gd name="connsiteY3" fmla="*/ 3628432 h 3628432"/>
            <a:gd name="connsiteX4" fmla="*/ 236835 w 236835"/>
            <a:gd name="connsiteY4" fmla="*/ 3628432 h 3628432"/>
            <a:gd name="connsiteX5" fmla="*/ 0 w 236835"/>
            <a:gd name="connsiteY5" fmla="*/ 3628432 h 3628432"/>
            <a:gd name="connsiteX6" fmla="*/ 0 w 236835"/>
            <a:gd name="connsiteY6" fmla="*/ 3628432 h 3628432"/>
            <a:gd name="connsiteX7" fmla="*/ 0 w 236835"/>
            <a:gd name="connsiteY7" fmla="*/ 39473 h 3628432"/>
            <a:gd name="connsiteX8" fmla="*/ 39473 w 236835"/>
            <a:gd name="connsiteY8" fmla="*/ 0 h 36284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36835" h="3628432">
              <a:moveTo>
                <a:pt x="236835" y="604751"/>
              </a:moveTo>
              <a:lnTo>
                <a:pt x="236835" y="3023681"/>
              </a:lnTo>
              <a:cubicBezTo>
                <a:pt x="236835" y="3357666"/>
                <a:pt x="235681" y="3628424"/>
                <a:pt x="234258" y="3628424"/>
              </a:cubicBezTo>
              <a:lnTo>
                <a:pt x="0" y="3628424"/>
              </a:lnTo>
              <a:lnTo>
                <a:pt x="0" y="3628424"/>
              </a:lnTo>
              <a:lnTo>
                <a:pt x="0" y="8"/>
              </a:lnTo>
              <a:lnTo>
                <a:pt x="0" y="8"/>
              </a:lnTo>
              <a:lnTo>
                <a:pt x="234258" y="8"/>
              </a:lnTo>
              <a:cubicBezTo>
                <a:pt x="235681" y="8"/>
                <a:pt x="236835" y="270766"/>
                <a:pt x="236835" y="604751"/>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35386" rIns="259211" bIns="135387" numCol="1" spcCol="1270" anchor="ctr" anchorCtr="0">
          <a:noAutofit/>
        </a:bodyPr>
        <a:lstStyle/>
        <a:p>
          <a:pPr marL="57150" lvl="1" indent="-57150" algn="l" defTabSz="444500">
            <a:lnSpc>
              <a:spcPct val="90000"/>
            </a:lnSpc>
            <a:spcBef>
              <a:spcPct val="0"/>
            </a:spcBef>
            <a:spcAft>
              <a:spcPct val="15000"/>
            </a:spcAft>
            <a:buChar char="••"/>
          </a:pPr>
          <a:r>
            <a:rPr lang="es-EC" sz="1000" kern="1200"/>
            <a:t>CONSUMO DE ENERGÍA ELÉCTRICA, POR ISLA (MWh)</a:t>
          </a:r>
        </a:p>
      </xdr:txBody>
    </xdr:sp>
    <xdr:clientData/>
  </xdr:twoCellAnchor>
  <xdr:twoCellAnchor>
    <xdr:from>
      <xdr:col>7</xdr:col>
      <xdr:colOff>224750</xdr:colOff>
      <xdr:row>9</xdr:row>
      <xdr:rowOff>48783</xdr:rowOff>
    </xdr:from>
    <xdr:to>
      <xdr:col>10</xdr:col>
      <xdr:colOff>485775</xdr:colOff>
      <xdr:row>12</xdr:row>
      <xdr:rowOff>21910</xdr:rowOff>
    </xdr:to>
    <xdr:sp macro="" textlink="">
      <xdr:nvSpPr>
        <xdr:cNvPr id="54" name="18 Forma libre">
          <a:hlinkClick xmlns:r="http://schemas.openxmlformats.org/officeDocument/2006/relationships" r:id="rId9"/>
          <a:extLst>
            <a:ext uri="{FF2B5EF4-FFF2-40B4-BE49-F238E27FC236}">
              <a16:creationId xmlns:a16="http://schemas.microsoft.com/office/drawing/2014/main" id="{00000000-0008-0000-1F00-000036000000}"/>
            </a:ext>
          </a:extLst>
        </xdr:cNvPr>
        <xdr:cNvSpPr/>
      </xdr:nvSpPr>
      <xdr:spPr>
        <a:xfrm>
          <a:off x="5025350" y="1163208"/>
          <a:ext cx="2318425" cy="344602"/>
        </a:xfrm>
        <a:custGeom>
          <a:avLst/>
          <a:gdLst>
            <a:gd name="connsiteX0" fmla="*/ 57850 w 347091"/>
            <a:gd name="connsiteY0" fmla="*/ 0 h 3704546"/>
            <a:gd name="connsiteX1" fmla="*/ 289241 w 347091"/>
            <a:gd name="connsiteY1" fmla="*/ 0 h 3704546"/>
            <a:gd name="connsiteX2" fmla="*/ 347091 w 347091"/>
            <a:gd name="connsiteY2" fmla="*/ 57850 h 3704546"/>
            <a:gd name="connsiteX3" fmla="*/ 347091 w 347091"/>
            <a:gd name="connsiteY3" fmla="*/ 3704546 h 3704546"/>
            <a:gd name="connsiteX4" fmla="*/ 347091 w 347091"/>
            <a:gd name="connsiteY4" fmla="*/ 3704546 h 3704546"/>
            <a:gd name="connsiteX5" fmla="*/ 0 w 347091"/>
            <a:gd name="connsiteY5" fmla="*/ 3704546 h 3704546"/>
            <a:gd name="connsiteX6" fmla="*/ 0 w 347091"/>
            <a:gd name="connsiteY6" fmla="*/ 3704546 h 3704546"/>
            <a:gd name="connsiteX7" fmla="*/ 0 w 347091"/>
            <a:gd name="connsiteY7" fmla="*/ 57850 h 3704546"/>
            <a:gd name="connsiteX8" fmla="*/ 57850 w 347091"/>
            <a:gd name="connsiteY8" fmla="*/ 0 h 3704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04546">
              <a:moveTo>
                <a:pt x="347091" y="617444"/>
              </a:moveTo>
              <a:lnTo>
                <a:pt x="347091" y="3087102"/>
              </a:lnTo>
              <a:cubicBezTo>
                <a:pt x="347091" y="3428107"/>
                <a:pt x="344664" y="3704541"/>
                <a:pt x="341671" y="3704541"/>
              </a:cubicBezTo>
              <a:lnTo>
                <a:pt x="0" y="3704541"/>
              </a:lnTo>
              <a:lnTo>
                <a:pt x="0" y="3704541"/>
              </a:lnTo>
              <a:lnTo>
                <a:pt x="0" y="5"/>
              </a:lnTo>
              <a:lnTo>
                <a:pt x="0" y="5"/>
              </a:lnTo>
              <a:lnTo>
                <a:pt x="341671" y="5"/>
              </a:lnTo>
              <a:cubicBezTo>
                <a:pt x="344664" y="5"/>
                <a:pt x="347091" y="276439"/>
                <a:pt x="347091" y="617444"/>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769"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baseline="0"/>
            <a:t>CONSUMO DE COMBUSTIBLE, POR ISLA  (Gln)</a:t>
          </a:r>
          <a:endParaRPr lang="es-EC" sz="1000" kern="1200"/>
        </a:p>
      </xdr:txBody>
    </xdr:sp>
    <xdr:clientData/>
  </xdr:twoCellAnchor>
  <xdr:twoCellAnchor>
    <xdr:from>
      <xdr:col>7</xdr:col>
      <xdr:colOff>224952</xdr:colOff>
      <xdr:row>13</xdr:row>
      <xdr:rowOff>4238</xdr:rowOff>
    </xdr:from>
    <xdr:to>
      <xdr:col>10</xdr:col>
      <xdr:colOff>495300</xdr:colOff>
      <xdr:row>16</xdr:row>
      <xdr:rowOff>1</xdr:rowOff>
    </xdr:to>
    <xdr:sp macro="" textlink="">
      <xdr:nvSpPr>
        <xdr:cNvPr id="58" name="18 Forma libre">
          <a:hlinkClick xmlns:r="http://schemas.openxmlformats.org/officeDocument/2006/relationships" r:id="rId10"/>
          <a:extLst>
            <a:ext uri="{FF2B5EF4-FFF2-40B4-BE49-F238E27FC236}">
              <a16:creationId xmlns:a16="http://schemas.microsoft.com/office/drawing/2014/main" id="{00000000-0008-0000-1F00-00003A000000}"/>
            </a:ext>
          </a:extLst>
        </xdr:cNvPr>
        <xdr:cNvSpPr/>
      </xdr:nvSpPr>
      <xdr:spPr>
        <a:xfrm>
          <a:off x="5025552" y="1613963"/>
          <a:ext cx="2327748" cy="367238"/>
        </a:xfrm>
        <a:custGeom>
          <a:avLst/>
          <a:gdLst>
            <a:gd name="connsiteX0" fmla="*/ 57850 w 347091"/>
            <a:gd name="connsiteY0" fmla="*/ 0 h 3704546"/>
            <a:gd name="connsiteX1" fmla="*/ 289241 w 347091"/>
            <a:gd name="connsiteY1" fmla="*/ 0 h 3704546"/>
            <a:gd name="connsiteX2" fmla="*/ 347091 w 347091"/>
            <a:gd name="connsiteY2" fmla="*/ 57850 h 3704546"/>
            <a:gd name="connsiteX3" fmla="*/ 347091 w 347091"/>
            <a:gd name="connsiteY3" fmla="*/ 3704546 h 3704546"/>
            <a:gd name="connsiteX4" fmla="*/ 347091 w 347091"/>
            <a:gd name="connsiteY4" fmla="*/ 3704546 h 3704546"/>
            <a:gd name="connsiteX5" fmla="*/ 0 w 347091"/>
            <a:gd name="connsiteY5" fmla="*/ 3704546 h 3704546"/>
            <a:gd name="connsiteX6" fmla="*/ 0 w 347091"/>
            <a:gd name="connsiteY6" fmla="*/ 3704546 h 3704546"/>
            <a:gd name="connsiteX7" fmla="*/ 0 w 347091"/>
            <a:gd name="connsiteY7" fmla="*/ 57850 h 3704546"/>
            <a:gd name="connsiteX8" fmla="*/ 57850 w 347091"/>
            <a:gd name="connsiteY8" fmla="*/ 0 h 37045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47091" h="3704546">
              <a:moveTo>
                <a:pt x="347091" y="617444"/>
              </a:moveTo>
              <a:lnTo>
                <a:pt x="347091" y="3087102"/>
              </a:lnTo>
              <a:cubicBezTo>
                <a:pt x="347091" y="3428107"/>
                <a:pt x="344664" y="3704541"/>
                <a:pt x="341671" y="3704541"/>
              </a:cubicBezTo>
              <a:lnTo>
                <a:pt x="0" y="3704541"/>
              </a:lnTo>
              <a:lnTo>
                <a:pt x="0" y="3704541"/>
              </a:lnTo>
              <a:lnTo>
                <a:pt x="0" y="5"/>
              </a:lnTo>
              <a:lnTo>
                <a:pt x="0" y="5"/>
              </a:lnTo>
              <a:lnTo>
                <a:pt x="341671" y="5"/>
              </a:lnTo>
              <a:cubicBezTo>
                <a:pt x="344664" y="5"/>
                <a:pt x="347091" y="276439"/>
                <a:pt x="347091" y="617444"/>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40769" rIns="264594" bIns="140770" numCol="1" spcCol="1270" anchor="ctr" anchorCtr="0">
          <a:noAutofit/>
        </a:bodyPr>
        <a:lstStyle/>
        <a:p>
          <a:pPr marL="57150" lvl="1" indent="-57150" algn="l" defTabSz="444500">
            <a:lnSpc>
              <a:spcPct val="90000"/>
            </a:lnSpc>
            <a:spcBef>
              <a:spcPct val="0"/>
            </a:spcBef>
            <a:spcAft>
              <a:spcPct val="15000"/>
            </a:spcAft>
            <a:buChar char="••"/>
          </a:pPr>
          <a:r>
            <a:rPr lang="es-EC" sz="1000" kern="1200" baseline="0"/>
            <a:t>ESTADO DE PROYECTOS DE ENERGÍA RENOVABLE (Avance)</a:t>
          </a:r>
          <a:endParaRPr lang="es-EC" sz="1000" kern="1200"/>
        </a:p>
      </xdr:txBody>
    </xdr:sp>
    <xdr:clientData/>
  </xdr:twoCellAnchor>
  <xdr:twoCellAnchor>
    <xdr:from>
      <xdr:col>7</xdr:col>
      <xdr:colOff>123182</xdr:colOff>
      <xdr:row>26</xdr:row>
      <xdr:rowOff>80562</xdr:rowOff>
    </xdr:from>
    <xdr:to>
      <xdr:col>10</xdr:col>
      <xdr:colOff>485776</xdr:colOff>
      <xdr:row>29</xdr:row>
      <xdr:rowOff>64365</xdr:rowOff>
    </xdr:to>
    <xdr:sp macro="" textlink="">
      <xdr:nvSpPr>
        <xdr:cNvPr id="61" name="12 Forma libre">
          <a:hlinkClick xmlns:r="http://schemas.openxmlformats.org/officeDocument/2006/relationships" r:id="rId11"/>
          <a:extLst>
            <a:ext uri="{FF2B5EF4-FFF2-40B4-BE49-F238E27FC236}">
              <a16:creationId xmlns:a16="http://schemas.microsoft.com/office/drawing/2014/main" id="{00000000-0008-0000-1F00-00003D000000}"/>
            </a:ext>
          </a:extLst>
        </xdr:cNvPr>
        <xdr:cNvSpPr/>
      </xdr:nvSpPr>
      <xdr:spPr>
        <a:xfrm>
          <a:off x="4923782" y="3300012"/>
          <a:ext cx="2419994" cy="355278"/>
        </a:xfrm>
        <a:custGeom>
          <a:avLst/>
          <a:gdLst>
            <a:gd name="connsiteX0" fmla="*/ 43916 w 263492"/>
            <a:gd name="connsiteY0" fmla="*/ 0 h 3790622"/>
            <a:gd name="connsiteX1" fmla="*/ 219576 w 263492"/>
            <a:gd name="connsiteY1" fmla="*/ 0 h 3790622"/>
            <a:gd name="connsiteX2" fmla="*/ 263492 w 263492"/>
            <a:gd name="connsiteY2" fmla="*/ 43916 h 3790622"/>
            <a:gd name="connsiteX3" fmla="*/ 263492 w 263492"/>
            <a:gd name="connsiteY3" fmla="*/ 3790622 h 3790622"/>
            <a:gd name="connsiteX4" fmla="*/ 263492 w 263492"/>
            <a:gd name="connsiteY4" fmla="*/ 3790622 h 3790622"/>
            <a:gd name="connsiteX5" fmla="*/ 0 w 263492"/>
            <a:gd name="connsiteY5" fmla="*/ 3790622 h 3790622"/>
            <a:gd name="connsiteX6" fmla="*/ 0 w 263492"/>
            <a:gd name="connsiteY6" fmla="*/ 3790622 h 3790622"/>
            <a:gd name="connsiteX7" fmla="*/ 0 w 263492"/>
            <a:gd name="connsiteY7" fmla="*/ 43916 h 3790622"/>
            <a:gd name="connsiteX8" fmla="*/ 43916 w 263492"/>
            <a:gd name="connsiteY8" fmla="*/ 0 h 37906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63492" h="3790622">
              <a:moveTo>
                <a:pt x="263492" y="631785"/>
              </a:moveTo>
              <a:lnTo>
                <a:pt x="263492" y="3158837"/>
              </a:lnTo>
              <a:cubicBezTo>
                <a:pt x="263492" y="3507756"/>
                <a:pt x="262125" y="3790615"/>
                <a:pt x="260439" y="3790615"/>
              </a:cubicBezTo>
              <a:lnTo>
                <a:pt x="0" y="3790615"/>
              </a:lnTo>
              <a:lnTo>
                <a:pt x="0" y="3790615"/>
              </a:lnTo>
              <a:lnTo>
                <a:pt x="0" y="7"/>
              </a:lnTo>
              <a:lnTo>
                <a:pt x="0" y="7"/>
              </a:lnTo>
              <a:lnTo>
                <a:pt x="260439" y="7"/>
              </a:lnTo>
              <a:cubicBezTo>
                <a:pt x="262125" y="7"/>
                <a:pt x="263492" y="282866"/>
                <a:pt x="263492" y="631785"/>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36688" rIns="260512" bIns="136690" numCol="1" spcCol="1270" anchor="ctr" anchorCtr="0">
          <a:noAutofit/>
        </a:bodyPr>
        <a:lstStyle/>
        <a:p>
          <a:pPr marL="57150" lvl="1" indent="-57150" algn="l" defTabSz="444500">
            <a:lnSpc>
              <a:spcPct val="90000"/>
            </a:lnSpc>
            <a:spcBef>
              <a:spcPct val="0"/>
            </a:spcBef>
            <a:spcAft>
              <a:spcPct val="15000"/>
            </a:spcAft>
            <a:buChar char="••"/>
          </a:pPr>
          <a:r>
            <a:rPr lang="es-EC" sz="1000" kern="1200"/>
            <a:t>Índice de Pérdidas</a:t>
          </a:r>
          <a:r>
            <a:rPr lang="es-EC" sz="1000" kern="1200" baseline="0"/>
            <a:t> de energía (%)</a:t>
          </a:r>
          <a:endParaRPr lang="es-EC" sz="1000" kern="1200"/>
        </a:p>
      </xdr:txBody>
    </xdr:sp>
    <xdr:clientData/>
  </xdr:twoCellAnchor>
  <xdr:twoCellAnchor>
    <xdr:from>
      <xdr:col>6</xdr:col>
      <xdr:colOff>76200</xdr:colOff>
      <xdr:row>26</xdr:row>
      <xdr:rowOff>57150</xdr:rowOff>
    </xdr:from>
    <xdr:to>
      <xdr:col>7</xdr:col>
      <xdr:colOff>75556</xdr:colOff>
      <xdr:row>29</xdr:row>
      <xdr:rowOff>63306</xdr:rowOff>
    </xdr:to>
    <xdr:sp macro="" textlink="">
      <xdr:nvSpPr>
        <xdr:cNvPr id="62" name="13 Forma libre">
          <a:extLst>
            <a:ext uri="{FF2B5EF4-FFF2-40B4-BE49-F238E27FC236}">
              <a16:creationId xmlns:a16="http://schemas.microsoft.com/office/drawing/2014/main" id="{00000000-0008-0000-1F00-00003E000000}"/>
            </a:ext>
          </a:extLst>
        </xdr:cNvPr>
        <xdr:cNvSpPr/>
      </xdr:nvSpPr>
      <xdr:spPr>
        <a:xfrm>
          <a:off x="4191000" y="3276600"/>
          <a:ext cx="685156" cy="377631"/>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9</a:t>
          </a:r>
        </a:p>
      </xdr:txBody>
    </xdr:sp>
    <xdr:clientData/>
  </xdr:twoCellAnchor>
  <xdr:twoCellAnchor>
    <xdr:from>
      <xdr:col>1</xdr:col>
      <xdr:colOff>228600</xdr:colOff>
      <xdr:row>6</xdr:row>
      <xdr:rowOff>76200</xdr:rowOff>
    </xdr:from>
    <xdr:to>
      <xdr:col>5</xdr:col>
      <xdr:colOff>542925</xdr:colOff>
      <xdr:row>10</xdr:row>
      <xdr:rowOff>104775</xdr:rowOff>
    </xdr:to>
    <xdr:sp macro="" textlink="">
      <xdr:nvSpPr>
        <xdr:cNvPr id="37" name="29 Rectángulo">
          <a:hlinkClick xmlns:r="http://schemas.openxmlformats.org/officeDocument/2006/relationships" r:id="rId12"/>
          <a:extLst>
            <a:ext uri="{FF2B5EF4-FFF2-40B4-BE49-F238E27FC236}">
              <a16:creationId xmlns:a16="http://schemas.microsoft.com/office/drawing/2014/main" id="{00000000-0008-0000-1F00-000025000000}"/>
            </a:ext>
          </a:extLst>
        </xdr:cNvPr>
        <xdr:cNvSpPr/>
      </xdr:nvSpPr>
      <xdr:spPr>
        <a:xfrm>
          <a:off x="914400" y="819150"/>
          <a:ext cx="3057525" cy="523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OPERACIONES</a:t>
          </a:r>
        </a:p>
      </xdr:txBody>
    </xdr:sp>
    <xdr:clientData/>
  </xdr:twoCellAnchor>
  <xdr:oneCellAnchor>
    <xdr:from>
      <xdr:col>2</xdr:col>
      <xdr:colOff>76200</xdr:colOff>
      <xdr:row>34</xdr:row>
      <xdr:rowOff>104775</xdr:rowOff>
    </xdr:from>
    <xdr:ext cx="2654766" cy="343940"/>
    <xdr:sp macro="" textlink="">
      <xdr:nvSpPr>
        <xdr:cNvPr id="39" name="22 Rectángulo">
          <a:extLst>
            <a:ext uri="{FF2B5EF4-FFF2-40B4-BE49-F238E27FC236}">
              <a16:creationId xmlns:a16="http://schemas.microsoft.com/office/drawing/2014/main" id="{00000000-0008-0000-1F00-000027000000}"/>
            </a:ext>
          </a:extLst>
        </xdr:cNvPr>
        <xdr:cNvSpPr/>
      </xdr:nvSpPr>
      <xdr:spPr>
        <a:xfrm>
          <a:off x="1447800" y="4314825"/>
          <a:ext cx="2654766" cy="343940"/>
        </a:xfrm>
        <a:prstGeom prst="rect">
          <a:avLst/>
        </a:prstGeom>
        <a:noFill/>
      </xdr:spPr>
      <xdr:txBody>
        <a:bodyPr wrap="none" lIns="91440" tIns="45720" rIns="91440" bIns="45720">
          <a:spAutoFit/>
        </a:bodyPr>
        <a:lstStyle/>
        <a:p>
          <a:pPr algn="ctr"/>
          <a:r>
            <a:rPr lang="es-ES" sz="1600" b="1" i="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entury Gothic" panose="020B0502020202020204" pitchFamily="34" charset="0"/>
              <a:cs typeface="David" panose="020E0502060401010101" pitchFamily="34" charset="-79"/>
            </a:rPr>
            <a:t>Jefatura de Planificación</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714375</xdr:colOff>
      <xdr:row>0</xdr:row>
      <xdr:rowOff>114300</xdr:rowOff>
    </xdr:from>
    <xdr:to>
      <xdr:col>6</xdr:col>
      <xdr:colOff>0</xdr:colOff>
      <xdr:row>43</xdr:row>
      <xdr:rowOff>0</xdr:rowOff>
    </xdr:to>
    <xdr:sp macro="" textlink="">
      <xdr:nvSpPr>
        <xdr:cNvPr id="2" name="1 Rectángulo">
          <a:extLst>
            <a:ext uri="{FF2B5EF4-FFF2-40B4-BE49-F238E27FC236}">
              <a16:creationId xmlns:a16="http://schemas.microsoft.com/office/drawing/2014/main" id="{00000000-0008-0000-2000-000002000000}"/>
            </a:ext>
          </a:extLst>
        </xdr:cNvPr>
        <xdr:cNvSpPr/>
      </xdr:nvSpPr>
      <xdr:spPr>
        <a:xfrm>
          <a:off x="714375" y="114300"/>
          <a:ext cx="3857625" cy="5210175"/>
        </a:xfrm>
        <a:prstGeom prst="rect">
          <a:avLst/>
        </a:prstGeom>
        <a:solidFill>
          <a:schemeClr val="bg1"/>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s-EC" sz="1100"/>
        </a:p>
      </xdr:txBody>
    </xdr:sp>
    <xdr:clientData/>
  </xdr:twoCellAnchor>
  <xdr:twoCellAnchor>
    <xdr:from>
      <xdr:col>5</xdr:col>
      <xdr:colOff>650875</xdr:colOff>
      <xdr:row>0</xdr:row>
      <xdr:rowOff>114300</xdr:rowOff>
    </xdr:from>
    <xdr:to>
      <xdr:col>10</xdr:col>
      <xdr:colOff>650875</xdr:colOff>
      <xdr:row>43</xdr:row>
      <xdr:rowOff>0</xdr:rowOff>
    </xdr:to>
    <xdr:sp macro="" textlink="">
      <xdr:nvSpPr>
        <xdr:cNvPr id="3" name="2 Rectángulo">
          <a:extLst>
            <a:ext uri="{FF2B5EF4-FFF2-40B4-BE49-F238E27FC236}">
              <a16:creationId xmlns:a16="http://schemas.microsoft.com/office/drawing/2014/main" id="{00000000-0008-0000-2000-000003000000}"/>
            </a:ext>
          </a:extLst>
        </xdr:cNvPr>
        <xdr:cNvSpPr/>
      </xdr:nvSpPr>
      <xdr:spPr>
        <a:xfrm>
          <a:off x="4079875" y="114300"/>
          <a:ext cx="3429000" cy="5210175"/>
        </a:xfrm>
        <a:prstGeom prst="rect">
          <a:avLst/>
        </a:prstGeom>
        <a:solidFill>
          <a:sysClr val="window" lastClr="FFFFFF"/>
        </a:solid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0</xdr:col>
      <xdr:colOff>714376</xdr:colOff>
      <xdr:row>0</xdr:row>
      <xdr:rowOff>114300</xdr:rowOff>
    </xdr:from>
    <xdr:to>
      <xdr:col>2</xdr:col>
      <xdr:colOff>152400</xdr:colOff>
      <xdr:row>6</xdr:row>
      <xdr:rowOff>9525</xdr:rowOff>
    </xdr:to>
    <xdr:sp macro="" textlink="">
      <xdr:nvSpPr>
        <xdr:cNvPr id="6" name="5 Rectángulo">
          <a:extLst>
            <a:ext uri="{FF2B5EF4-FFF2-40B4-BE49-F238E27FC236}">
              <a16:creationId xmlns:a16="http://schemas.microsoft.com/office/drawing/2014/main" id="{00000000-0008-0000-2000-000006000000}"/>
            </a:ext>
          </a:extLst>
        </xdr:cNvPr>
        <xdr:cNvSpPr/>
      </xdr:nvSpPr>
      <xdr:spPr>
        <a:xfrm>
          <a:off x="7143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4</xdr:col>
      <xdr:colOff>561976</xdr:colOff>
      <xdr:row>0</xdr:row>
      <xdr:rowOff>114300</xdr:rowOff>
    </xdr:from>
    <xdr:to>
      <xdr:col>6</xdr:col>
      <xdr:colOff>0</xdr:colOff>
      <xdr:row>6</xdr:row>
      <xdr:rowOff>9525</xdr:rowOff>
    </xdr:to>
    <xdr:sp macro="" textlink="">
      <xdr:nvSpPr>
        <xdr:cNvPr id="7" name="6 Rectángulo">
          <a:extLst>
            <a:ext uri="{FF2B5EF4-FFF2-40B4-BE49-F238E27FC236}">
              <a16:creationId xmlns:a16="http://schemas.microsoft.com/office/drawing/2014/main" id="{00000000-0008-0000-2000-000007000000}"/>
            </a:ext>
          </a:extLst>
        </xdr:cNvPr>
        <xdr:cNvSpPr/>
      </xdr:nvSpPr>
      <xdr:spPr>
        <a:xfrm>
          <a:off x="3609976" y="114300"/>
          <a:ext cx="96202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2</xdr:col>
      <xdr:colOff>171451</xdr:colOff>
      <xdr:row>0</xdr:row>
      <xdr:rowOff>114300</xdr:rowOff>
    </xdr:from>
    <xdr:to>
      <xdr:col>4</xdr:col>
      <xdr:colOff>542925</xdr:colOff>
      <xdr:row>6</xdr:row>
      <xdr:rowOff>9525</xdr:rowOff>
    </xdr:to>
    <xdr:sp macro="" textlink="">
      <xdr:nvSpPr>
        <xdr:cNvPr id="8" name="7 Rectángulo">
          <a:extLst>
            <a:ext uri="{FF2B5EF4-FFF2-40B4-BE49-F238E27FC236}">
              <a16:creationId xmlns:a16="http://schemas.microsoft.com/office/drawing/2014/main" id="{00000000-0008-0000-2000-000008000000}"/>
            </a:ext>
          </a:extLst>
        </xdr:cNvPr>
        <xdr:cNvSpPr/>
      </xdr:nvSpPr>
      <xdr:spPr>
        <a:xfrm>
          <a:off x="1695451" y="114300"/>
          <a:ext cx="1895474" cy="638175"/>
        </a:xfrm>
        <a:prstGeom prst="rect">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7</xdr:col>
      <xdr:colOff>212642</xdr:colOff>
      <xdr:row>19</xdr:row>
      <xdr:rowOff>13886</xdr:rowOff>
    </xdr:from>
    <xdr:to>
      <xdr:col>10</xdr:col>
      <xdr:colOff>504825</xdr:colOff>
      <xdr:row>22</xdr:row>
      <xdr:rowOff>66675</xdr:rowOff>
    </xdr:to>
    <xdr:sp macro="" textlink="">
      <xdr:nvSpPr>
        <xdr:cNvPr id="13" name="12 Forma libre">
          <a:hlinkClick xmlns:r="http://schemas.openxmlformats.org/officeDocument/2006/relationships" r:id="rId1"/>
          <a:extLst>
            <a:ext uri="{FF2B5EF4-FFF2-40B4-BE49-F238E27FC236}">
              <a16:creationId xmlns:a16="http://schemas.microsoft.com/office/drawing/2014/main" id="{00000000-0008-0000-2000-00000D000000}"/>
            </a:ext>
          </a:extLst>
        </xdr:cNvPr>
        <xdr:cNvSpPr/>
      </xdr:nvSpPr>
      <xdr:spPr>
        <a:xfrm>
          <a:off x="5013242" y="2366561"/>
          <a:ext cx="2349583" cy="424264"/>
        </a:xfrm>
        <a:custGeom>
          <a:avLst/>
          <a:gdLst>
            <a:gd name="connsiteX0" fmla="*/ 43916 w 263492"/>
            <a:gd name="connsiteY0" fmla="*/ 0 h 3790622"/>
            <a:gd name="connsiteX1" fmla="*/ 219576 w 263492"/>
            <a:gd name="connsiteY1" fmla="*/ 0 h 3790622"/>
            <a:gd name="connsiteX2" fmla="*/ 263492 w 263492"/>
            <a:gd name="connsiteY2" fmla="*/ 43916 h 3790622"/>
            <a:gd name="connsiteX3" fmla="*/ 263492 w 263492"/>
            <a:gd name="connsiteY3" fmla="*/ 3790622 h 3790622"/>
            <a:gd name="connsiteX4" fmla="*/ 263492 w 263492"/>
            <a:gd name="connsiteY4" fmla="*/ 3790622 h 3790622"/>
            <a:gd name="connsiteX5" fmla="*/ 0 w 263492"/>
            <a:gd name="connsiteY5" fmla="*/ 3790622 h 3790622"/>
            <a:gd name="connsiteX6" fmla="*/ 0 w 263492"/>
            <a:gd name="connsiteY6" fmla="*/ 3790622 h 3790622"/>
            <a:gd name="connsiteX7" fmla="*/ 0 w 263492"/>
            <a:gd name="connsiteY7" fmla="*/ 43916 h 3790622"/>
            <a:gd name="connsiteX8" fmla="*/ 43916 w 263492"/>
            <a:gd name="connsiteY8" fmla="*/ 0 h 37906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63492" h="3790622">
              <a:moveTo>
                <a:pt x="263492" y="631785"/>
              </a:moveTo>
              <a:lnTo>
                <a:pt x="263492" y="3158837"/>
              </a:lnTo>
              <a:cubicBezTo>
                <a:pt x="263492" y="3507756"/>
                <a:pt x="262125" y="3790615"/>
                <a:pt x="260439" y="3790615"/>
              </a:cubicBezTo>
              <a:lnTo>
                <a:pt x="0" y="3790615"/>
              </a:lnTo>
              <a:lnTo>
                <a:pt x="0" y="3790615"/>
              </a:lnTo>
              <a:lnTo>
                <a:pt x="0" y="7"/>
              </a:lnTo>
              <a:lnTo>
                <a:pt x="0" y="7"/>
              </a:lnTo>
              <a:lnTo>
                <a:pt x="260439" y="7"/>
              </a:lnTo>
              <a:cubicBezTo>
                <a:pt x="262125" y="7"/>
                <a:pt x="263492" y="282866"/>
                <a:pt x="263492" y="631785"/>
              </a:cubicBezTo>
              <a:close/>
            </a:path>
          </a:pathLst>
        </a:custGeom>
        <a:gradFill flip="none" rotWithShape="1">
          <a:gsLst>
            <a:gs pos="0">
              <a:srgbClr val="F8D48C">
                <a:tint val="66000"/>
                <a:satMod val="160000"/>
              </a:srgbClr>
            </a:gs>
            <a:gs pos="50000">
              <a:srgbClr val="F8D48C">
                <a:tint val="44500"/>
                <a:satMod val="160000"/>
              </a:srgbClr>
            </a:gs>
            <a:gs pos="100000">
              <a:srgbClr val="F8D48C">
                <a:tint val="23500"/>
                <a:satMod val="160000"/>
              </a:srgbClr>
            </a:gs>
          </a:gsLst>
          <a:path path="circle">
            <a:fillToRect r="100000" b="100000"/>
          </a:path>
          <a:tileRect l="-100000" t="-100000"/>
        </a:gradFill>
      </xdr:spPr>
      <xdr:style>
        <a:lnRef idx="1">
          <a:schemeClr val="accent6"/>
        </a:lnRef>
        <a:fillRef idx="2">
          <a:schemeClr val="accent6"/>
        </a:fillRef>
        <a:effectRef idx="1">
          <a:schemeClr val="accent6"/>
        </a:effectRef>
        <a:fontRef idx="minor">
          <a:schemeClr val="dk1"/>
        </a:fontRef>
      </xdr:style>
      <xdr:txBody>
        <a:bodyPr spcFirstLastPara="0" vert="horz" wrap="square" lIns="247651" tIns="136688" rIns="260512" bIns="136690" numCol="1" spcCol="1270" anchor="ctr" anchorCtr="0">
          <a:noAutofit/>
        </a:bodyPr>
        <a:lstStyle/>
        <a:p>
          <a:pPr marL="57150" lvl="1" indent="-57150" algn="l" defTabSz="444500">
            <a:lnSpc>
              <a:spcPct val="90000"/>
            </a:lnSpc>
            <a:spcBef>
              <a:spcPct val="0"/>
            </a:spcBef>
            <a:spcAft>
              <a:spcPct val="15000"/>
            </a:spcAft>
            <a:buChar char="••"/>
          </a:pPr>
          <a:r>
            <a:rPr lang="es-EC" sz="1000" kern="1200"/>
            <a:t>Cumplimiento de horas hombre promedio de capacitación del personal fijo</a:t>
          </a:r>
        </a:p>
      </xdr:txBody>
    </xdr:sp>
    <xdr:clientData/>
  </xdr:twoCellAnchor>
  <xdr:twoCellAnchor>
    <xdr:from>
      <xdr:col>6</xdr:col>
      <xdr:colOff>114300</xdr:colOff>
      <xdr:row>19</xdr:row>
      <xdr:rowOff>19050</xdr:rowOff>
    </xdr:from>
    <xdr:to>
      <xdr:col>7</xdr:col>
      <xdr:colOff>117391</xdr:colOff>
      <xdr:row>22</xdr:row>
      <xdr:rowOff>47620</xdr:rowOff>
    </xdr:to>
    <xdr:sp macro="" textlink="">
      <xdr:nvSpPr>
        <xdr:cNvPr id="14" name="13 Forma libre">
          <a:extLst>
            <a:ext uri="{FF2B5EF4-FFF2-40B4-BE49-F238E27FC236}">
              <a16:creationId xmlns:a16="http://schemas.microsoft.com/office/drawing/2014/main" id="{00000000-0008-0000-2000-00000E000000}"/>
            </a:ext>
          </a:extLst>
        </xdr:cNvPr>
        <xdr:cNvSpPr/>
      </xdr:nvSpPr>
      <xdr:spPr>
        <a:xfrm>
          <a:off x="4229100" y="2371725"/>
          <a:ext cx="688891" cy="400045"/>
        </a:xfrm>
        <a:custGeom>
          <a:avLst/>
          <a:gdLst>
            <a:gd name="connsiteX0" fmla="*/ 0 w 765091"/>
            <a:gd name="connsiteY0" fmla="*/ 54895 h 329366"/>
            <a:gd name="connsiteX1" fmla="*/ 54895 w 765091"/>
            <a:gd name="connsiteY1" fmla="*/ 0 h 329366"/>
            <a:gd name="connsiteX2" fmla="*/ 710196 w 765091"/>
            <a:gd name="connsiteY2" fmla="*/ 0 h 329366"/>
            <a:gd name="connsiteX3" fmla="*/ 765091 w 765091"/>
            <a:gd name="connsiteY3" fmla="*/ 54895 h 329366"/>
            <a:gd name="connsiteX4" fmla="*/ 765091 w 765091"/>
            <a:gd name="connsiteY4" fmla="*/ 274471 h 329366"/>
            <a:gd name="connsiteX5" fmla="*/ 710196 w 765091"/>
            <a:gd name="connsiteY5" fmla="*/ 329366 h 329366"/>
            <a:gd name="connsiteX6" fmla="*/ 54895 w 765091"/>
            <a:gd name="connsiteY6" fmla="*/ 329366 h 329366"/>
            <a:gd name="connsiteX7" fmla="*/ 0 w 765091"/>
            <a:gd name="connsiteY7" fmla="*/ 274471 h 329366"/>
            <a:gd name="connsiteX8" fmla="*/ 0 w 765091"/>
            <a:gd name="connsiteY8" fmla="*/ 54895 h 3293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65091" h="329366">
              <a:moveTo>
                <a:pt x="0" y="54895"/>
              </a:moveTo>
              <a:cubicBezTo>
                <a:pt x="0" y="24577"/>
                <a:pt x="24577" y="0"/>
                <a:pt x="54895" y="0"/>
              </a:cubicBezTo>
              <a:lnTo>
                <a:pt x="710196" y="0"/>
              </a:lnTo>
              <a:cubicBezTo>
                <a:pt x="740514" y="0"/>
                <a:pt x="765091" y="24577"/>
                <a:pt x="765091" y="54895"/>
              </a:cubicBezTo>
              <a:lnTo>
                <a:pt x="765091" y="274471"/>
              </a:lnTo>
              <a:cubicBezTo>
                <a:pt x="765091" y="304789"/>
                <a:pt x="740514" y="329366"/>
                <a:pt x="710196" y="329366"/>
              </a:cubicBezTo>
              <a:lnTo>
                <a:pt x="54895" y="329366"/>
              </a:lnTo>
              <a:cubicBezTo>
                <a:pt x="24577" y="329366"/>
                <a:pt x="0" y="304789"/>
                <a:pt x="0" y="274471"/>
              </a:cubicBezTo>
              <a:lnTo>
                <a:pt x="0" y="54895"/>
              </a:lnTo>
              <a:close/>
            </a:path>
          </a:pathLst>
        </a:custGeom>
      </xdr:spPr>
      <xdr:style>
        <a:lnRef idx="2">
          <a:schemeClr val="lt1">
            <a:hueOff val="0"/>
            <a:satOff val="0"/>
            <a:lumOff val="0"/>
            <a:alphaOff val="0"/>
          </a:schemeClr>
        </a:lnRef>
        <a:fillRef idx="1">
          <a:schemeClr val="accent1">
            <a:shade val="80000"/>
            <a:hueOff val="0"/>
            <a:satOff val="0"/>
            <a:lumOff val="0"/>
            <a:alphaOff val="0"/>
          </a:schemeClr>
        </a:fillRef>
        <a:effectRef idx="0">
          <a:schemeClr val="accent1">
            <a:shade val="80000"/>
            <a:hueOff val="0"/>
            <a:satOff val="0"/>
            <a:lumOff val="0"/>
            <a:alphaOff val="0"/>
          </a:schemeClr>
        </a:effectRef>
        <a:fontRef idx="minor">
          <a:schemeClr val="lt1"/>
        </a:fontRef>
      </xdr:style>
      <xdr:txBody>
        <a:bodyPr spcFirstLastPara="0" vert="horz" wrap="square" lIns="69418" tIns="42748" rIns="69418" bIns="42748" numCol="1" spcCol="1270" anchor="ctr" anchorCtr="0">
          <a:noAutofit/>
        </a:bodyPr>
        <a:lstStyle/>
        <a:p>
          <a:pPr lvl="0" algn="ctr" defTabSz="622300">
            <a:lnSpc>
              <a:spcPct val="90000"/>
            </a:lnSpc>
            <a:spcBef>
              <a:spcPct val="0"/>
            </a:spcBef>
            <a:spcAft>
              <a:spcPct val="35000"/>
            </a:spcAft>
          </a:pPr>
          <a:r>
            <a:rPr lang="es-EC" sz="1400" kern="1200"/>
            <a:t>26</a:t>
          </a:r>
        </a:p>
      </xdr:txBody>
    </xdr:sp>
    <xdr:clientData/>
  </xdr:twoCellAnchor>
  <xdr:twoCellAnchor>
    <xdr:from>
      <xdr:col>6</xdr:col>
      <xdr:colOff>28575</xdr:colOff>
      <xdr:row>12</xdr:row>
      <xdr:rowOff>120650</xdr:rowOff>
    </xdr:from>
    <xdr:to>
      <xdr:col>10</xdr:col>
      <xdr:colOff>552450</xdr:colOff>
      <xdr:row>16</xdr:row>
      <xdr:rowOff>34925</xdr:rowOff>
    </xdr:to>
    <xdr:sp macro="" textlink="">
      <xdr:nvSpPr>
        <xdr:cNvPr id="19" name="24 Rectángulo">
          <a:extLst>
            <a:ext uri="{FF2B5EF4-FFF2-40B4-BE49-F238E27FC236}">
              <a16:creationId xmlns:a16="http://schemas.microsoft.com/office/drawing/2014/main" id="{00000000-0008-0000-2000-000013000000}"/>
            </a:ext>
          </a:extLst>
        </xdr:cNvPr>
        <xdr:cNvSpPr/>
      </xdr:nvSpPr>
      <xdr:spPr>
        <a:xfrm>
          <a:off x="4124325" y="1644650"/>
          <a:ext cx="3254375" cy="422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C" sz="1000"/>
            <a:t>Incrementar el desarrollo del Talento Humano </a:t>
          </a:r>
        </a:p>
      </xdr:txBody>
    </xdr:sp>
    <xdr:clientData/>
  </xdr:twoCellAnchor>
  <xdr:oneCellAnchor>
    <xdr:from>
      <xdr:col>1</xdr:col>
      <xdr:colOff>104776</xdr:colOff>
      <xdr:row>23</xdr:row>
      <xdr:rowOff>104517</xdr:rowOff>
    </xdr:from>
    <xdr:ext cx="3248024" cy="781308"/>
    <xdr:sp macro="" textlink="">
      <xdr:nvSpPr>
        <xdr:cNvPr id="24" name="3 Rectángulo">
          <a:extLst>
            <a:ext uri="{FF2B5EF4-FFF2-40B4-BE49-F238E27FC236}">
              <a16:creationId xmlns:a16="http://schemas.microsoft.com/office/drawing/2014/main" id="{00000000-0008-0000-2000-000018000000}"/>
            </a:ext>
          </a:extLst>
        </xdr:cNvPr>
        <xdr:cNvSpPr/>
      </xdr:nvSpPr>
      <xdr:spPr>
        <a:xfrm>
          <a:off x="790576" y="2952492"/>
          <a:ext cx="3248024" cy="781308"/>
        </a:xfrm>
        <a:prstGeom prst="rect">
          <a:avLst/>
        </a:prstGeom>
        <a:noFill/>
      </xdr:spPr>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ELECGALAPAGOS</a:t>
          </a:r>
        </a:p>
      </xdr:txBody>
    </xdr:sp>
    <xdr:clientData/>
  </xdr:oneCellAnchor>
  <xdr:twoCellAnchor>
    <xdr:from>
      <xdr:col>4</xdr:col>
      <xdr:colOff>619126</xdr:colOff>
      <xdr:row>1</xdr:row>
      <xdr:rowOff>104775</xdr:rowOff>
    </xdr:from>
    <xdr:to>
      <xdr:col>5</xdr:col>
      <xdr:colOff>641264</xdr:colOff>
      <xdr:row>5</xdr:row>
      <xdr:rowOff>63744</xdr:rowOff>
    </xdr:to>
    <xdr:pic>
      <xdr:nvPicPr>
        <xdr:cNvPr id="26" name="21 Imagen" descr="Disposición nuevo logo CENTROSUR">
          <a:extLst>
            <a:ext uri="{FF2B5EF4-FFF2-40B4-BE49-F238E27FC236}">
              <a16:creationId xmlns:a16="http://schemas.microsoft.com/office/drawing/2014/main" id="{00000000-0008-0000-2000-00001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36" t="2092" r="49688" b="4549"/>
        <a:stretch/>
      </xdr:blipFill>
      <xdr:spPr bwMode="auto">
        <a:xfrm>
          <a:off x="3362326" y="228600"/>
          <a:ext cx="707938" cy="45426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371477</xdr:colOff>
      <xdr:row>15</xdr:row>
      <xdr:rowOff>6594</xdr:rowOff>
    </xdr:from>
    <xdr:to>
      <xdr:col>5</xdr:col>
      <xdr:colOff>28577</xdr:colOff>
      <xdr:row>21</xdr:row>
      <xdr:rowOff>73269</xdr:rowOff>
    </xdr:to>
    <xdr:pic>
      <xdr:nvPicPr>
        <xdr:cNvPr id="28" name="Imagen 27" descr="C:\Users\SAT\Pictures\EEG.jpg">
          <a:extLst>
            <a:ext uri="{FF2B5EF4-FFF2-40B4-BE49-F238E27FC236}">
              <a16:creationId xmlns:a16="http://schemas.microsoft.com/office/drawing/2014/main" id="{00000000-0008-0000-2000-00001C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7" y="1863969"/>
          <a:ext cx="1714500" cy="809625"/>
        </a:xfrm>
        <a:prstGeom prst="rect">
          <a:avLst/>
        </a:prstGeom>
        <a:noFill/>
        <a:ln>
          <a:noFill/>
        </a:ln>
      </xdr:spPr>
    </xdr:pic>
    <xdr:clientData/>
  </xdr:twoCellAnchor>
  <xdr:twoCellAnchor editAs="oneCell">
    <xdr:from>
      <xdr:col>1</xdr:col>
      <xdr:colOff>38100</xdr:colOff>
      <xdr:row>1</xdr:row>
      <xdr:rowOff>111369</xdr:rowOff>
    </xdr:from>
    <xdr:to>
      <xdr:col>2</xdr:col>
      <xdr:colOff>123825</xdr:colOff>
      <xdr:row>5</xdr:row>
      <xdr:rowOff>101844</xdr:rowOff>
    </xdr:to>
    <xdr:pic>
      <xdr:nvPicPr>
        <xdr:cNvPr id="29" name="Imagen 28" descr="C:\Users\SAT\Pictures\EEG.jpg">
          <a:extLst>
            <a:ext uri="{FF2B5EF4-FFF2-40B4-BE49-F238E27FC236}">
              <a16:creationId xmlns:a16="http://schemas.microsoft.com/office/drawing/2014/main" id="{00000000-0008-0000-2000-00001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3900" y="235194"/>
          <a:ext cx="771525" cy="485775"/>
        </a:xfrm>
        <a:prstGeom prst="rect">
          <a:avLst/>
        </a:prstGeom>
        <a:noFill/>
        <a:ln>
          <a:noFill/>
        </a:ln>
      </xdr:spPr>
    </xdr:pic>
    <xdr:clientData/>
  </xdr:twoCellAnchor>
  <xdr:twoCellAnchor>
    <xdr:from>
      <xdr:col>11</xdr:col>
      <xdr:colOff>257176</xdr:colOff>
      <xdr:row>1</xdr:row>
      <xdr:rowOff>9525</xdr:rowOff>
    </xdr:from>
    <xdr:to>
      <xdr:col>11</xdr:col>
      <xdr:colOff>619126</xdr:colOff>
      <xdr:row>3</xdr:row>
      <xdr:rowOff>76200</xdr:rowOff>
    </xdr:to>
    <xdr:grpSp>
      <xdr:nvGrpSpPr>
        <xdr:cNvPr id="30" name="16 Grupo">
          <a:hlinkClick xmlns:r="http://schemas.openxmlformats.org/officeDocument/2006/relationships" r:id="rId5"/>
          <a:extLst>
            <a:ext uri="{FF2B5EF4-FFF2-40B4-BE49-F238E27FC236}">
              <a16:creationId xmlns:a16="http://schemas.microsoft.com/office/drawing/2014/main" id="{00000000-0008-0000-2000-00001E000000}"/>
            </a:ext>
          </a:extLst>
        </xdr:cNvPr>
        <xdr:cNvGrpSpPr/>
      </xdr:nvGrpSpPr>
      <xdr:grpSpPr>
        <a:xfrm>
          <a:off x="7687919" y="120926"/>
          <a:ext cx="356152" cy="284921"/>
          <a:chOff x="9791700" y="781050"/>
          <a:chExt cx="390525" cy="381000"/>
        </a:xfrm>
      </xdr:grpSpPr>
      <xdr:sp macro="" textlink="">
        <xdr:nvSpPr>
          <xdr:cNvPr id="31" name="7 Elipse">
            <a:extLst>
              <a:ext uri="{FF2B5EF4-FFF2-40B4-BE49-F238E27FC236}">
                <a16:creationId xmlns:a16="http://schemas.microsoft.com/office/drawing/2014/main" id="{00000000-0008-0000-2000-00001F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32" name="14 Flecha derecha">
            <a:extLst>
              <a:ext uri="{FF2B5EF4-FFF2-40B4-BE49-F238E27FC236}">
                <a16:creationId xmlns:a16="http://schemas.microsoft.com/office/drawing/2014/main" id="{00000000-0008-0000-2000-000020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oneCellAnchor>
    <xdr:from>
      <xdr:col>2</xdr:col>
      <xdr:colOff>209550</xdr:colOff>
      <xdr:row>1</xdr:row>
      <xdr:rowOff>19050</xdr:rowOff>
    </xdr:from>
    <xdr:ext cx="1657350" cy="533399"/>
    <xdr:sp macro="" textlink="">
      <xdr:nvSpPr>
        <xdr:cNvPr id="22" name="3 Rectángulo">
          <a:extLst>
            <a:ext uri="{FF2B5EF4-FFF2-40B4-BE49-F238E27FC236}">
              <a16:creationId xmlns:a16="http://schemas.microsoft.com/office/drawing/2014/main" id="{00000000-0008-0000-2000-000016000000}"/>
            </a:ext>
          </a:extLst>
        </xdr:cNvPr>
        <xdr:cNvSpPr/>
      </xdr:nvSpPr>
      <xdr:spPr>
        <a:xfrm>
          <a:off x="1581150" y="142875"/>
          <a:ext cx="1657350" cy="533399"/>
        </a:xfrm>
        <a:prstGeom prst="rect">
          <a:avLst/>
        </a:prstGeom>
        <a:effectLst>
          <a:outerShdw blurRad="76200" dist="12700" dir="8100000" sy="-23000" kx="800400" algn="br" rotWithShape="0">
            <a:prstClr val="black">
              <a:alpha val="20000"/>
            </a:prstClr>
          </a:outerShdw>
        </a:effectLst>
      </xdr:spPr>
      <xdr:style>
        <a:lnRef idx="2">
          <a:schemeClr val="accent1"/>
        </a:lnRef>
        <a:fillRef idx="1">
          <a:schemeClr val="lt1"/>
        </a:fillRef>
        <a:effectRef idx="0">
          <a:schemeClr val="accent1"/>
        </a:effectRef>
        <a:fontRef idx="minor">
          <a:schemeClr val="dk1"/>
        </a:fontRef>
      </xdr:style>
      <xdr:txBody>
        <a:bodyPr wrap="non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INDICADORES </a:t>
          </a:r>
        </a:p>
        <a:p>
          <a:pPr algn="ctr"/>
          <a:r>
            <a:rPr lang="es-ES" sz="16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DE GESTIÓN</a:t>
          </a:r>
        </a:p>
      </xdr:txBody>
    </xdr:sp>
    <xdr:clientData/>
  </xdr:oneCellAnchor>
  <xdr:twoCellAnchor>
    <xdr:from>
      <xdr:col>1</xdr:col>
      <xdr:colOff>219075</xdr:colOff>
      <xdr:row>6</xdr:row>
      <xdr:rowOff>95250</xdr:rowOff>
    </xdr:from>
    <xdr:to>
      <xdr:col>5</xdr:col>
      <xdr:colOff>428625</xdr:colOff>
      <xdr:row>11</xdr:row>
      <xdr:rowOff>76200</xdr:rowOff>
    </xdr:to>
    <xdr:sp macro="" textlink="">
      <xdr:nvSpPr>
        <xdr:cNvPr id="20" name="33 Rectángulo">
          <a:hlinkClick xmlns:r="http://schemas.openxmlformats.org/officeDocument/2006/relationships" r:id="rId6"/>
          <a:extLst>
            <a:ext uri="{FF2B5EF4-FFF2-40B4-BE49-F238E27FC236}">
              <a16:creationId xmlns:a16="http://schemas.microsoft.com/office/drawing/2014/main" id="{00000000-0008-0000-2000-000014000000}"/>
            </a:ext>
          </a:extLst>
        </xdr:cNvPr>
        <xdr:cNvSpPr/>
      </xdr:nvSpPr>
      <xdr:spPr>
        <a:xfrm>
          <a:off x="904875" y="838200"/>
          <a:ext cx="2952750" cy="600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2000"/>
            <a:t>APRENDIZAJE</a:t>
          </a:r>
        </a:p>
      </xdr:txBody>
    </xdr:sp>
    <xdr:clientData/>
  </xdr:twoCellAnchor>
  <xdr:oneCellAnchor>
    <xdr:from>
      <xdr:col>2</xdr:col>
      <xdr:colOff>76200</xdr:colOff>
      <xdr:row>36</xdr:row>
      <xdr:rowOff>19050</xdr:rowOff>
    </xdr:from>
    <xdr:ext cx="2654766" cy="343940"/>
    <xdr:sp macro="" textlink="">
      <xdr:nvSpPr>
        <xdr:cNvPr id="23" name="22 Rectángulo">
          <a:extLst>
            <a:ext uri="{FF2B5EF4-FFF2-40B4-BE49-F238E27FC236}">
              <a16:creationId xmlns:a16="http://schemas.microsoft.com/office/drawing/2014/main" id="{00000000-0008-0000-2000-000017000000}"/>
            </a:ext>
          </a:extLst>
        </xdr:cNvPr>
        <xdr:cNvSpPr/>
      </xdr:nvSpPr>
      <xdr:spPr>
        <a:xfrm>
          <a:off x="1447800" y="4476750"/>
          <a:ext cx="2654766" cy="343940"/>
        </a:xfrm>
        <a:prstGeom prst="rect">
          <a:avLst/>
        </a:prstGeom>
        <a:noFill/>
      </xdr:spPr>
      <xdr:txBody>
        <a:bodyPr wrap="none" lIns="91440" tIns="45720" rIns="91440" bIns="45720">
          <a:spAutoFit/>
        </a:bodyPr>
        <a:lstStyle/>
        <a:p>
          <a:pPr algn="ctr"/>
          <a:r>
            <a:rPr lang="es-ES" sz="1600" b="1" i="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entury Gothic" panose="020B0502020202020204" pitchFamily="34" charset="0"/>
              <a:cs typeface="David" panose="020E0502060401010101" pitchFamily="34" charset="-79"/>
            </a:rPr>
            <a:t>Jefatura de Planificación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9525</xdr:colOff>
      <xdr:row>110</xdr:row>
      <xdr:rowOff>138113</xdr:rowOff>
    </xdr:from>
    <xdr:to>
      <xdr:col>6</xdr:col>
      <xdr:colOff>666750</xdr:colOff>
      <xdr:row>127</xdr:row>
      <xdr:rowOff>142875</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101974</xdr:colOff>
      <xdr:row>0</xdr:row>
      <xdr:rowOff>69476</xdr:rowOff>
    </xdr:from>
    <xdr:to>
      <xdr:col>7</xdr:col>
      <xdr:colOff>438150</xdr:colOff>
      <xdr:row>0</xdr:row>
      <xdr:rowOff>361950</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0300-000003000000}"/>
            </a:ext>
          </a:extLst>
        </xdr:cNvPr>
        <xdr:cNvGrpSpPr/>
      </xdr:nvGrpSpPr>
      <xdr:grpSpPr>
        <a:xfrm>
          <a:off x="6636124" y="69476"/>
          <a:ext cx="336176" cy="292474"/>
          <a:chOff x="9791700" y="781050"/>
          <a:chExt cx="390525" cy="381000"/>
        </a:xfrm>
      </xdr:grpSpPr>
      <xdr:sp macro="" textlink="">
        <xdr:nvSpPr>
          <xdr:cNvPr id="4" name="7 Elipse">
            <a:extLst>
              <a:ext uri="{FF2B5EF4-FFF2-40B4-BE49-F238E27FC236}">
                <a16:creationId xmlns:a16="http://schemas.microsoft.com/office/drawing/2014/main" id="{00000000-0008-0000-03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03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11204</xdr:colOff>
      <xdr:row>107</xdr:row>
      <xdr:rowOff>57150</xdr:rowOff>
    </xdr:from>
    <xdr:to>
      <xdr:col>6</xdr:col>
      <xdr:colOff>0</xdr:colOff>
      <xdr:row>128</xdr:row>
      <xdr:rowOff>266700</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266700</xdr:colOff>
      <xdr:row>0</xdr:row>
      <xdr:rowOff>133350</xdr:rowOff>
    </xdr:from>
    <xdr:to>
      <xdr:col>25</xdr:col>
      <xdr:colOff>523875</xdr:colOff>
      <xdr:row>1</xdr:row>
      <xdr:rowOff>66675</xdr:rowOff>
    </xdr:to>
    <xdr:grpSp>
      <xdr:nvGrpSpPr>
        <xdr:cNvPr id="10" name="16 Grupo">
          <a:hlinkClick xmlns:r="http://schemas.openxmlformats.org/officeDocument/2006/relationships" r:id="rId2"/>
          <a:extLst>
            <a:ext uri="{FF2B5EF4-FFF2-40B4-BE49-F238E27FC236}">
              <a16:creationId xmlns:a16="http://schemas.microsoft.com/office/drawing/2014/main" id="{00000000-0008-0000-0400-00000A000000}"/>
            </a:ext>
          </a:extLst>
        </xdr:cNvPr>
        <xdr:cNvGrpSpPr/>
      </xdr:nvGrpSpPr>
      <xdr:grpSpPr>
        <a:xfrm>
          <a:off x="6568706" y="133350"/>
          <a:ext cx="257175" cy="365273"/>
          <a:chOff x="9791700" y="781050"/>
          <a:chExt cx="390525" cy="381000"/>
        </a:xfrm>
      </xdr:grpSpPr>
      <xdr:sp macro="" textlink="">
        <xdr:nvSpPr>
          <xdr:cNvPr id="11" name="7 Elipse">
            <a:extLst>
              <a:ext uri="{FF2B5EF4-FFF2-40B4-BE49-F238E27FC236}">
                <a16:creationId xmlns:a16="http://schemas.microsoft.com/office/drawing/2014/main" id="{00000000-0008-0000-0400-00000B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12" name="14 Flecha derecha">
            <a:extLst>
              <a:ext uri="{FF2B5EF4-FFF2-40B4-BE49-F238E27FC236}">
                <a16:creationId xmlns:a16="http://schemas.microsoft.com/office/drawing/2014/main" id="{00000000-0008-0000-0400-00000C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110</xdr:row>
      <xdr:rowOff>145675</xdr:rowOff>
    </xdr:from>
    <xdr:to>
      <xdr:col>6</xdr:col>
      <xdr:colOff>650876</xdr:colOff>
      <xdr:row>129</xdr:row>
      <xdr:rowOff>79375</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67236</xdr:colOff>
      <xdr:row>0</xdr:row>
      <xdr:rowOff>56031</xdr:rowOff>
    </xdr:from>
    <xdr:to>
      <xdr:col>7</xdr:col>
      <xdr:colOff>425823</xdr:colOff>
      <xdr:row>0</xdr:row>
      <xdr:rowOff>358588</xdr:rowOff>
    </xdr:to>
    <xdr:grpSp>
      <xdr:nvGrpSpPr>
        <xdr:cNvPr id="8" name="16 Grupo">
          <a:hlinkClick xmlns:r="http://schemas.openxmlformats.org/officeDocument/2006/relationships" r:id="rId2"/>
          <a:extLst>
            <a:ext uri="{FF2B5EF4-FFF2-40B4-BE49-F238E27FC236}">
              <a16:creationId xmlns:a16="http://schemas.microsoft.com/office/drawing/2014/main" id="{00000000-0008-0000-0500-000008000000}"/>
            </a:ext>
          </a:extLst>
        </xdr:cNvPr>
        <xdr:cNvGrpSpPr/>
      </xdr:nvGrpSpPr>
      <xdr:grpSpPr>
        <a:xfrm>
          <a:off x="5894295" y="56031"/>
          <a:ext cx="358587" cy="302557"/>
          <a:chOff x="9791700" y="781050"/>
          <a:chExt cx="390525" cy="381000"/>
        </a:xfrm>
      </xdr:grpSpPr>
      <xdr:sp macro="" textlink="">
        <xdr:nvSpPr>
          <xdr:cNvPr id="9" name="7 Elipse">
            <a:extLst>
              <a:ext uri="{FF2B5EF4-FFF2-40B4-BE49-F238E27FC236}">
                <a16:creationId xmlns:a16="http://schemas.microsoft.com/office/drawing/2014/main" id="{00000000-0008-0000-0500-000009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10" name="14 Flecha derecha">
            <a:extLst>
              <a:ext uri="{FF2B5EF4-FFF2-40B4-BE49-F238E27FC236}">
                <a16:creationId xmlns:a16="http://schemas.microsoft.com/office/drawing/2014/main" id="{00000000-0008-0000-0500-00000A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104</xdr:row>
      <xdr:rowOff>104776</xdr:rowOff>
    </xdr:from>
    <xdr:to>
      <xdr:col>6</xdr:col>
      <xdr:colOff>746124</xdr:colOff>
      <xdr:row>125</xdr:row>
      <xdr:rowOff>142876</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100854</xdr:colOff>
      <xdr:row>0</xdr:row>
      <xdr:rowOff>123265</xdr:rowOff>
    </xdr:from>
    <xdr:to>
      <xdr:col>7</xdr:col>
      <xdr:colOff>390526</xdr:colOff>
      <xdr:row>0</xdr:row>
      <xdr:rowOff>361950</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0600-000003000000}"/>
            </a:ext>
          </a:extLst>
        </xdr:cNvPr>
        <xdr:cNvGrpSpPr/>
      </xdr:nvGrpSpPr>
      <xdr:grpSpPr>
        <a:xfrm>
          <a:off x="5634879" y="123265"/>
          <a:ext cx="289672" cy="238685"/>
          <a:chOff x="9791700" y="781050"/>
          <a:chExt cx="390525" cy="381000"/>
        </a:xfrm>
      </xdr:grpSpPr>
      <xdr:sp macro="" textlink="">
        <xdr:nvSpPr>
          <xdr:cNvPr id="4" name="7 Elipse">
            <a:extLst>
              <a:ext uri="{FF2B5EF4-FFF2-40B4-BE49-F238E27FC236}">
                <a16:creationId xmlns:a16="http://schemas.microsoft.com/office/drawing/2014/main" id="{00000000-0008-0000-06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06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38101</xdr:colOff>
      <xdr:row>104</xdr:row>
      <xdr:rowOff>80963</xdr:rowOff>
    </xdr:from>
    <xdr:to>
      <xdr:col>6</xdr:col>
      <xdr:colOff>809626</xdr:colOff>
      <xdr:row>125</xdr:row>
      <xdr:rowOff>85726</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142876</xdr:colOff>
      <xdr:row>0</xdr:row>
      <xdr:rowOff>38101</xdr:rowOff>
    </xdr:from>
    <xdr:to>
      <xdr:col>7</xdr:col>
      <xdr:colOff>447675</xdr:colOff>
      <xdr:row>0</xdr:row>
      <xdr:rowOff>285750</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0700-000003000000}"/>
            </a:ext>
          </a:extLst>
        </xdr:cNvPr>
        <xdr:cNvGrpSpPr/>
      </xdr:nvGrpSpPr>
      <xdr:grpSpPr>
        <a:xfrm>
          <a:off x="5810251" y="38101"/>
          <a:ext cx="304799" cy="247649"/>
          <a:chOff x="9791700" y="781050"/>
          <a:chExt cx="390525" cy="381000"/>
        </a:xfrm>
      </xdr:grpSpPr>
      <xdr:sp macro="" textlink="">
        <xdr:nvSpPr>
          <xdr:cNvPr id="4" name="7 Elipse">
            <a:extLst>
              <a:ext uri="{FF2B5EF4-FFF2-40B4-BE49-F238E27FC236}">
                <a16:creationId xmlns:a16="http://schemas.microsoft.com/office/drawing/2014/main" id="{00000000-0008-0000-07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07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104</xdr:row>
      <xdr:rowOff>149600</xdr:rowOff>
    </xdr:from>
    <xdr:to>
      <xdr:col>6</xdr:col>
      <xdr:colOff>790575</xdr:colOff>
      <xdr:row>125</xdr:row>
      <xdr:rowOff>130549</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112060</xdr:colOff>
      <xdr:row>0</xdr:row>
      <xdr:rowOff>134472</xdr:rowOff>
    </xdr:from>
    <xdr:to>
      <xdr:col>7</xdr:col>
      <xdr:colOff>481854</xdr:colOff>
      <xdr:row>0</xdr:row>
      <xdr:rowOff>437029</xdr:rowOff>
    </xdr:to>
    <xdr:grpSp>
      <xdr:nvGrpSpPr>
        <xdr:cNvPr id="3" name="16 Grupo">
          <a:hlinkClick xmlns:r="http://schemas.openxmlformats.org/officeDocument/2006/relationships" r:id="rId2"/>
          <a:extLst>
            <a:ext uri="{FF2B5EF4-FFF2-40B4-BE49-F238E27FC236}">
              <a16:creationId xmlns:a16="http://schemas.microsoft.com/office/drawing/2014/main" id="{00000000-0008-0000-0800-000003000000}"/>
            </a:ext>
          </a:extLst>
        </xdr:cNvPr>
        <xdr:cNvGrpSpPr/>
      </xdr:nvGrpSpPr>
      <xdr:grpSpPr>
        <a:xfrm>
          <a:off x="6055660" y="134472"/>
          <a:ext cx="369794" cy="302557"/>
          <a:chOff x="9791700" y="781050"/>
          <a:chExt cx="390525" cy="381000"/>
        </a:xfrm>
      </xdr:grpSpPr>
      <xdr:sp macro="" textlink="">
        <xdr:nvSpPr>
          <xdr:cNvPr id="4" name="7 Elipse">
            <a:extLst>
              <a:ext uri="{FF2B5EF4-FFF2-40B4-BE49-F238E27FC236}">
                <a16:creationId xmlns:a16="http://schemas.microsoft.com/office/drawing/2014/main" id="{00000000-0008-0000-0800-000004000000}"/>
              </a:ext>
            </a:extLst>
          </xdr:cNvPr>
          <xdr:cNvSpPr/>
        </xdr:nvSpPr>
        <xdr:spPr>
          <a:xfrm rot="10800000">
            <a:off x="9791700" y="781050"/>
            <a:ext cx="390525" cy="3810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s-EC" sz="1100"/>
          </a:p>
        </xdr:txBody>
      </xdr:sp>
      <xdr:sp macro="" textlink="">
        <xdr:nvSpPr>
          <xdr:cNvPr id="5" name="14 Flecha derecha">
            <a:extLst>
              <a:ext uri="{FF2B5EF4-FFF2-40B4-BE49-F238E27FC236}">
                <a16:creationId xmlns:a16="http://schemas.microsoft.com/office/drawing/2014/main" id="{00000000-0008-0000-0800-000005000000}"/>
              </a:ext>
            </a:extLst>
          </xdr:cNvPr>
          <xdr:cNvSpPr/>
        </xdr:nvSpPr>
        <xdr:spPr>
          <a:xfrm rot="10800000">
            <a:off x="9810750" y="819150"/>
            <a:ext cx="295275" cy="30480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ourdes.rodriguez\Desktop\Users\Gabriel%20Dur&#225;n%20R\Downloads\SISDAT%202011\SISDAT%20Calidad%20Servicio%20Tecnico%20-%20AGOSTO%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ourdes.rodriguez\Desktop\Informaci&#243;n%20Matriz%202017\Users\Gabriel%20Dur&#225;n%20R\Downloads\SISDAT%202011\SISDAT%20Calidad%20Servicio%20Tecnico%20-%20AGOSTO%2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inive.tapia\Desktop\DATOS\Copia%20de%20Matriz_indicadores_Direcci&#243;n_Comercial_2017_Agos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drea.leon\Downloads\Matriz_indicadores_Direcci&#243;n_Comercial_2018_Marz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sheetName val="Calidad de Servicio Comercial"/>
      <sheetName val="Datos Generales"/>
      <sheetName val="Barras"/>
      <sheetName val="Formulas"/>
      <sheetName val="Transformadores"/>
      <sheetName val="Transformadores-Armónicos"/>
      <sheetName val="Usuarios Bajo Voltaje"/>
      <sheetName val="Usuarios Medio y Alto Voltaje"/>
      <sheetName val="Calidad de Servicio Técnico"/>
      <sheetName val="Calidad Transporte Producto"/>
      <sheetName val="Calidad de Transporte-Armónicos"/>
      <sheetName val="Calidad Transporte SNI"/>
      <sheetName val="Mesajes de Error"/>
      <sheetName val="Catálogos"/>
      <sheetName val="SISDAT Calidad Servicio Tecn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F12" t="str">
            <v>Barranco Colorado</v>
          </cell>
          <cell r="AA12" t="str">
            <v>U (Urbano)</v>
          </cell>
          <cell r="BM12" t="str">
            <v>DMNPOR02 (15 de Abril-Tres Marías)</v>
          </cell>
        </row>
        <row r="13">
          <cell r="F13" t="str">
            <v>Bahia</v>
          </cell>
          <cell r="AA13" t="str">
            <v>R (Rural)</v>
          </cell>
          <cell r="BM13" t="str">
            <v>DMNMAN11 (15 de Septiembre-San Juan-Sta. Martha-Zona Rural)</v>
          </cell>
        </row>
        <row r="14">
          <cell r="F14" t="str">
            <v>Calceta</v>
          </cell>
          <cell r="BM14" t="str">
            <v>DMNMAY01 (24 de Mayo)</v>
          </cell>
        </row>
        <row r="15">
          <cell r="F15" t="str">
            <v>Chone</v>
          </cell>
          <cell r="BM15" t="str">
            <v>DMNPOR01 (Andres de Vera-Loma Blanca)</v>
          </cell>
        </row>
        <row r="16">
          <cell r="F16" t="str">
            <v>Colimes</v>
          </cell>
          <cell r="BM16" t="str">
            <v>DMNPOR22 (Av. Manabí - Av. Reales Tamarinos)</v>
          </cell>
        </row>
        <row r="17">
          <cell r="F17" t="str">
            <v>Jama</v>
          </cell>
          <cell r="BM17" t="str">
            <v>DMNPOR09 (Av. Manabí, Calle 5 de Junio (Supermaxi))</v>
          </cell>
        </row>
        <row r="18">
          <cell r="F18" t="str">
            <v>Jipijapa</v>
          </cell>
          <cell r="BM18" t="str">
            <v>DMNBAH03 (Bahia Centro)</v>
          </cell>
        </row>
        <row r="19">
          <cell r="F19" t="str">
            <v>Lodana</v>
          </cell>
          <cell r="BM19" t="str">
            <v>DMNBAH02 (Bahia Norte)</v>
          </cell>
        </row>
        <row r="20">
          <cell r="F20" t="str">
            <v>Machalilla</v>
          </cell>
          <cell r="BM20" t="str">
            <v>DMNMAN08 (Barrio Jocay)</v>
          </cell>
        </row>
        <row r="21">
          <cell r="F21" t="str">
            <v>Miraflores</v>
          </cell>
          <cell r="BM21" t="str">
            <v>DMNMAN13 (Barrio Umiña - Universidad)</v>
          </cell>
        </row>
        <row r="22">
          <cell r="F22" t="str">
            <v>Manta 2</v>
          </cell>
          <cell r="BM22" t="str">
            <v>DMNMON04 (Base Naval)</v>
          </cell>
        </row>
        <row r="23">
          <cell r="F23" t="str">
            <v>Manta 3</v>
          </cell>
          <cell r="BM23" t="str">
            <v>DMNROC02 (Bypass)</v>
          </cell>
        </row>
        <row r="24">
          <cell r="F24" t="str">
            <v>Montecristi</v>
          </cell>
          <cell r="BM24" t="str">
            <v>DMNCHO04 (C.R.M.)</v>
          </cell>
        </row>
        <row r="25">
          <cell r="F25" t="str">
            <v>Playa Prieta</v>
          </cell>
          <cell r="BM25" t="str">
            <v>DMNCAL03 (Calceta)</v>
          </cell>
        </row>
        <row r="26">
          <cell r="F26" t="str">
            <v>Portoviejo 1</v>
          </cell>
          <cell r="BM26" t="str">
            <v>DMNPLA01 (Calderon-San Placido)</v>
          </cell>
        </row>
        <row r="27">
          <cell r="F27" t="str">
            <v>Portoviejo 2</v>
          </cell>
          <cell r="BM27" t="str">
            <v>DMNMAN09 (Calle 113 Ales)</v>
          </cell>
        </row>
        <row r="28">
          <cell r="F28" t="str">
            <v>Portoviejo 3</v>
          </cell>
          <cell r="BM28" t="str">
            <v>DMNCAL05 (Canuto)</v>
          </cell>
        </row>
        <row r="29">
          <cell r="F29" t="str">
            <v>Pto. Cayo</v>
          </cell>
          <cell r="BM29" t="str">
            <v>DMNCOL03 (Cascol)</v>
          </cell>
        </row>
        <row r="30">
          <cell r="F30" t="str">
            <v>Rio De Oro</v>
          </cell>
          <cell r="BM30" t="str">
            <v>DMNLOD01 (Caza Lagarto)</v>
          </cell>
        </row>
        <row r="31">
          <cell r="F31" t="str">
            <v>Rocafuerte</v>
          </cell>
          <cell r="BM31" t="str">
            <v>DMNCHO02 (Centro de Chone)</v>
          </cell>
        </row>
        <row r="32">
          <cell r="F32" t="str">
            <v>San Vicente</v>
          </cell>
          <cell r="BM32" t="str">
            <v>DMNPOR03 (Centro Portoviejo)</v>
          </cell>
        </row>
        <row r="33">
          <cell r="F33" t="str">
            <v>Sesme</v>
          </cell>
          <cell r="BM33" t="str">
            <v>DMNPOR32 (Col. Uruguay-Coca Cola)</v>
          </cell>
        </row>
        <row r="34">
          <cell r="F34" t="str">
            <v>Tosagua</v>
          </cell>
          <cell r="BM34" t="str">
            <v>DMNPOR33 (Colon, el Cady, el limon)</v>
          </cell>
        </row>
        <row r="35">
          <cell r="BM35" t="str">
            <v>DMNMON02 (Colorado-Fabril)</v>
          </cell>
        </row>
        <row r="36">
          <cell r="BM36" t="str">
            <v>DMNMAN03 (Cordova-Santa Martha)</v>
          </cell>
        </row>
        <row r="37">
          <cell r="BM37" t="str">
            <v>DMNPOR24 (Crucita)</v>
          </cell>
        </row>
        <row r="38">
          <cell r="BM38" t="str">
            <v>DMNRIO01 (EE.BB EAPAM)</v>
          </cell>
        </row>
        <row r="39">
          <cell r="BM39" t="str">
            <v>DMNMON03 (El Café)</v>
          </cell>
        </row>
        <row r="40">
          <cell r="BM40" t="str">
            <v>DMNMAN21 (El Palmar, Cdla divino niño)</v>
          </cell>
        </row>
        <row r="41">
          <cell r="BM41" t="str">
            <v>DMNPOR31 (Fatima-San Pablo)</v>
          </cell>
        </row>
        <row r="42">
          <cell r="BM42" t="str">
            <v>DMNSES02 (Flavio Alfaro)</v>
          </cell>
        </row>
        <row r="43">
          <cell r="BM43" t="str">
            <v>DMNPOR07 (Floron)</v>
          </cell>
        </row>
        <row r="44">
          <cell r="BM44" t="str">
            <v>DMNMAN01 (H. Oro Verde)</v>
          </cell>
        </row>
        <row r="45">
          <cell r="BM45" t="str">
            <v>DMNMAN23 (Hacia la FOL)</v>
          </cell>
        </row>
        <row r="46">
          <cell r="BM46" t="str">
            <v>DMNJAM03 (Hacia San Isidro)</v>
          </cell>
        </row>
        <row r="47">
          <cell r="BM47" t="str">
            <v>DMNJAM01 (Jama)</v>
          </cell>
        </row>
        <row r="48">
          <cell r="BM48" t="str">
            <v>DMNMAN22 (Jaramijo)</v>
          </cell>
        </row>
        <row r="49">
          <cell r="BM49" t="str">
            <v>DMNJIP01 (Jipijapa 1, Centro)</v>
          </cell>
        </row>
        <row r="50">
          <cell r="BM50" t="str">
            <v>DMNJIP02 (Jipijapa 2, Rural)</v>
          </cell>
        </row>
        <row r="51">
          <cell r="BM51" t="str">
            <v>DMNCAL02 (Junin, Miraflores, el Caucho)</v>
          </cell>
        </row>
        <row r="52">
          <cell r="BM52" t="str">
            <v>DMNTOS03 (Km. 20, la estancilla)</v>
          </cell>
        </row>
        <row r="53">
          <cell r="BM53" t="str">
            <v>DMNMON05 (La Asamblea - Montecristi)</v>
          </cell>
        </row>
        <row r="54">
          <cell r="BM54" t="str">
            <v>DMNCAL01 (La Estancilla)</v>
          </cell>
        </row>
        <row r="55">
          <cell r="BM55" t="str">
            <v>DMNBAH01 (Leonidas Plaza)</v>
          </cell>
        </row>
        <row r="56">
          <cell r="BM56" t="str">
            <v>DMNPOR05 (Los Bosques-5 de Junio)</v>
          </cell>
        </row>
        <row r="57">
          <cell r="BM57" t="str">
            <v>DMNMAN24 (Los Esteros)</v>
          </cell>
        </row>
        <row r="58">
          <cell r="BM58" t="str">
            <v>DMNROC01 (Los Puertos-Charapoto)</v>
          </cell>
        </row>
        <row r="59">
          <cell r="BM59" t="str">
            <v>DMNMAC02 (Machalilla)</v>
          </cell>
        </row>
        <row r="60">
          <cell r="BM60" t="str">
            <v>DMNVIC02 (Malecón-Canoa)</v>
          </cell>
        </row>
        <row r="61">
          <cell r="BM61" t="str">
            <v>DMNMON01 (Montecristi)</v>
          </cell>
        </row>
        <row r="62">
          <cell r="BM62" t="str">
            <v>DMNCOL01 (Pajan)</v>
          </cell>
        </row>
        <row r="63">
          <cell r="BM63" t="str">
            <v>DMNMAN34 (Paseo Shopping, las brisas, marbella)</v>
          </cell>
        </row>
        <row r="64">
          <cell r="BM64" t="str">
            <v>DMNJAM02 (Pedernales)</v>
          </cell>
        </row>
        <row r="65">
          <cell r="BM65" t="str">
            <v>DMNCAY01 (Puerto Cayo)</v>
          </cell>
        </row>
        <row r="66">
          <cell r="BM66" t="str">
            <v>DMNMAC01 (Puerto Lopez)</v>
          </cell>
        </row>
        <row r="67">
          <cell r="BM67" t="str">
            <v>DMNCAL04 (Quiroga)</v>
          </cell>
        </row>
        <row r="68">
          <cell r="BM68" t="str">
            <v>DMNPLA02 (Rio Chico, playa prieta)</v>
          </cell>
        </row>
        <row r="69">
          <cell r="BM69" t="str">
            <v>DMNROC04 (Rio Chico, rocafuerte)</v>
          </cell>
        </row>
        <row r="70">
          <cell r="BM70" t="str">
            <v>DMNROC03 (Rocafuerte centro)</v>
          </cell>
        </row>
        <row r="71">
          <cell r="BM71" t="str">
            <v>DMNVIC03 (Salinas, San Felipe, Horconcito)</v>
          </cell>
        </row>
        <row r="72">
          <cell r="BM72" t="str">
            <v>DMNPOR06 (San Alejo, orquideas, La California)</v>
          </cell>
        </row>
        <row r="73">
          <cell r="BM73" t="str">
            <v>DMNCHO01 (San Antonio-Hospital)</v>
          </cell>
        </row>
        <row r="74">
          <cell r="BM74" t="str">
            <v>DMNSES01 (San Isidro)</v>
          </cell>
        </row>
        <row r="75">
          <cell r="BM75" t="str">
            <v>DMNMAN31 (San Pedro-Eloy Alfaro (Cuba))</v>
          </cell>
        </row>
        <row r="76">
          <cell r="BM76" t="str">
            <v>DMNVIC01 (San Vicente)</v>
          </cell>
        </row>
        <row r="77">
          <cell r="BM77" t="str">
            <v>DMNLOD02 (Santa Ana, bonce, taina)</v>
          </cell>
        </row>
        <row r="78">
          <cell r="BM78" t="str">
            <v>DMNPOR04 (Shopping-Tamarindos)</v>
          </cell>
        </row>
        <row r="79">
          <cell r="BM79" t="str">
            <v>DMNPOR23 (Solca, Cdla los Electricos)</v>
          </cell>
        </row>
        <row r="80">
          <cell r="BM80" t="str">
            <v>DMNCHO03 (Sta. Martha, chone)</v>
          </cell>
        </row>
        <row r="81">
          <cell r="BM81" t="str">
            <v>DMNMAN02 (Tarqui)</v>
          </cell>
        </row>
        <row r="82">
          <cell r="BM82" t="str">
            <v>DMNTOS01 (Tosagua)</v>
          </cell>
        </row>
        <row r="83">
          <cell r="BM83" t="str">
            <v>DMNMAN32 (Urbirrios, 20 de Mayo, el Porvenir)</v>
          </cell>
        </row>
        <row r="84">
          <cell r="BM84" t="str">
            <v>DMNPOR21 (UTM-Avda Universitaria)</v>
          </cell>
        </row>
        <row r="85">
          <cell r="BM85" t="str">
            <v>DMNMAY02 (Via Lodana)</v>
          </cell>
        </row>
        <row r="86">
          <cell r="BM86" t="str">
            <v>DMNPOR34 (Via los Angeles)</v>
          </cell>
        </row>
        <row r="87">
          <cell r="BM87" t="str">
            <v>DMNRIO02 (Via Portoviejo-Antenas-La Pila)</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sheetName val="Calidad de Servicio Comercial"/>
      <sheetName val="Datos Generales"/>
      <sheetName val="Barras"/>
      <sheetName val="Formulas"/>
      <sheetName val="Transformadores"/>
      <sheetName val="Transformadores-Armónicos"/>
      <sheetName val="Usuarios Bajo Voltaje"/>
      <sheetName val="Usuarios Medio y Alto Voltaje"/>
      <sheetName val="Calidad de Servicio Técnico"/>
      <sheetName val="Calidad Transporte Producto"/>
      <sheetName val="Calidad de Transporte-Armónicos"/>
      <sheetName val="Calidad Transporte SNI"/>
      <sheetName val="Mesajes de Error"/>
      <sheetName val="Catálogos"/>
      <sheetName val="SISDAT Calidad Servicio Tecn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2">
          <cell r="F12" t="str">
            <v>Barranco Colorado</v>
          </cell>
          <cell r="AA12" t="str">
            <v>U (Urbano)</v>
          </cell>
          <cell r="BM12" t="str">
            <v>DMNPOR02 (15 de Abril-Tres Marías)</v>
          </cell>
        </row>
        <row r="13">
          <cell r="F13" t="str">
            <v>Bahia</v>
          </cell>
          <cell r="AA13" t="str">
            <v>R (Rural)</v>
          </cell>
          <cell r="BM13" t="str">
            <v>DMNMAN11 (15 de Septiembre-San Juan-Sta. Martha-Zona Rural)</v>
          </cell>
        </row>
        <row r="14">
          <cell r="F14" t="str">
            <v>Calceta</v>
          </cell>
          <cell r="BM14" t="str">
            <v>DMNMAY01 (24 de Mayo)</v>
          </cell>
        </row>
        <row r="15">
          <cell r="F15" t="str">
            <v>Chone</v>
          </cell>
          <cell r="BM15" t="str">
            <v>DMNPOR01 (Andres de Vera-Loma Blanca)</v>
          </cell>
        </row>
        <row r="16">
          <cell r="F16" t="str">
            <v>Colimes</v>
          </cell>
          <cell r="BM16" t="str">
            <v>DMNPOR22 (Av. Manabí - Av. Reales Tamarinos)</v>
          </cell>
        </row>
        <row r="17">
          <cell r="F17" t="str">
            <v>Jama</v>
          </cell>
          <cell r="BM17" t="str">
            <v>DMNPOR09 (Av. Manabí, Calle 5 de Junio (Supermaxi))</v>
          </cell>
        </row>
        <row r="18">
          <cell r="F18" t="str">
            <v>Jipijapa</v>
          </cell>
          <cell r="BM18" t="str">
            <v>DMNBAH03 (Bahia Centro)</v>
          </cell>
        </row>
        <row r="19">
          <cell r="F19" t="str">
            <v>Lodana</v>
          </cell>
          <cell r="BM19" t="str">
            <v>DMNBAH02 (Bahia Norte)</v>
          </cell>
        </row>
        <row r="20">
          <cell r="F20" t="str">
            <v>Machalilla</v>
          </cell>
          <cell r="BM20" t="str">
            <v>DMNMAN08 (Barrio Jocay)</v>
          </cell>
        </row>
        <row r="21">
          <cell r="F21" t="str">
            <v>Miraflores</v>
          </cell>
          <cell r="BM21" t="str">
            <v>DMNMAN13 (Barrio Umiña - Universidad)</v>
          </cell>
        </row>
        <row r="22">
          <cell r="F22" t="str">
            <v>Manta 2</v>
          </cell>
          <cell r="BM22" t="str">
            <v>DMNMON04 (Base Naval)</v>
          </cell>
        </row>
        <row r="23">
          <cell r="F23" t="str">
            <v>Manta 3</v>
          </cell>
          <cell r="BM23" t="str">
            <v>DMNROC02 (Bypass)</v>
          </cell>
        </row>
        <row r="24">
          <cell r="F24" t="str">
            <v>Montecristi</v>
          </cell>
          <cell r="BM24" t="str">
            <v>DMNCHO04 (C.R.M.)</v>
          </cell>
        </row>
        <row r="25">
          <cell r="F25" t="str">
            <v>Playa Prieta</v>
          </cell>
          <cell r="BM25" t="str">
            <v>DMNCAL03 (Calceta)</v>
          </cell>
        </row>
        <row r="26">
          <cell r="F26" t="str">
            <v>Portoviejo 1</v>
          </cell>
          <cell r="BM26" t="str">
            <v>DMNPLA01 (Calderon-San Placido)</v>
          </cell>
        </row>
        <row r="27">
          <cell r="F27" t="str">
            <v>Portoviejo 2</v>
          </cell>
          <cell r="BM27" t="str">
            <v>DMNMAN09 (Calle 113 Ales)</v>
          </cell>
        </row>
        <row r="28">
          <cell r="F28" t="str">
            <v>Portoviejo 3</v>
          </cell>
          <cell r="BM28" t="str">
            <v>DMNCAL05 (Canuto)</v>
          </cell>
        </row>
        <row r="29">
          <cell r="F29" t="str">
            <v>Pto. Cayo</v>
          </cell>
          <cell r="BM29" t="str">
            <v>DMNCOL03 (Cascol)</v>
          </cell>
        </row>
        <row r="30">
          <cell r="F30" t="str">
            <v>Rio De Oro</v>
          </cell>
          <cell r="BM30" t="str">
            <v>DMNLOD01 (Caza Lagarto)</v>
          </cell>
        </row>
        <row r="31">
          <cell r="F31" t="str">
            <v>Rocafuerte</v>
          </cell>
          <cell r="BM31" t="str">
            <v>DMNCHO02 (Centro de Chone)</v>
          </cell>
        </row>
        <row r="32">
          <cell r="F32" t="str">
            <v>San Vicente</v>
          </cell>
          <cell r="BM32" t="str">
            <v>DMNPOR03 (Centro Portoviejo)</v>
          </cell>
        </row>
        <row r="33">
          <cell r="F33" t="str">
            <v>Sesme</v>
          </cell>
          <cell r="BM33" t="str">
            <v>DMNPOR32 (Col. Uruguay-Coca Cola)</v>
          </cell>
        </row>
        <row r="34">
          <cell r="F34" t="str">
            <v>Tosagua</v>
          </cell>
          <cell r="BM34" t="str">
            <v>DMNPOR33 (Colon, el Cady, el limon)</v>
          </cell>
        </row>
        <row r="35">
          <cell r="BM35" t="str">
            <v>DMNMON02 (Colorado-Fabril)</v>
          </cell>
        </row>
        <row r="36">
          <cell r="BM36" t="str">
            <v>DMNMAN03 (Cordova-Santa Martha)</v>
          </cell>
        </row>
        <row r="37">
          <cell r="BM37" t="str">
            <v>DMNPOR24 (Crucita)</v>
          </cell>
        </row>
        <row r="38">
          <cell r="BM38" t="str">
            <v>DMNRIO01 (EE.BB EAPAM)</v>
          </cell>
        </row>
        <row r="39">
          <cell r="BM39" t="str">
            <v>DMNMON03 (El Café)</v>
          </cell>
        </row>
        <row r="40">
          <cell r="BM40" t="str">
            <v>DMNMAN21 (El Palmar, Cdla divino niño)</v>
          </cell>
        </row>
        <row r="41">
          <cell r="BM41" t="str">
            <v>DMNPOR31 (Fatima-San Pablo)</v>
          </cell>
        </row>
        <row r="42">
          <cell r="BM42" t="str">
            <v>DMNSES02 (Flavio Alfaro)</v>
          </cell>
        </row>
        <row r="43">
          <cell r="BM43" t="str">
            <v>DMNPOR07 (Floron)</v>
          </cell>
        </row>
        <row r="44">
          <cell r="BM44" t="str">
            <v>DMNMAN01 (H. Oro Verde)</v>
          </cell>
        </row>
        <row r="45">
          <cell r="BM45" t="str">
            <v>DMNMAN23 (Hacia la FOL)</v>
          </cell>
        </row>
        <row r="46">
          <cell r="BM46" t="str">
            <v>DMNJAM03 (Hacia San Isidro)</v>
          </cell>
        </row>
        <row r="47">
          <cell r="BM47" t="str">
            <v>DMNJAM01 (Jama)</v>
          </cell>
        </row>
        <row r="48">
          <cell r="BM48" t="str">
            <v>DMNMAN22 (Jaramijo)</v>
          </cell>
        </row>
        <row r="49">
          <cell r="BM49" t="str">
            <v>DMNJIP01 (Jipijapa 1, Centro)</v>
          </cell>
        </row>
        <row r="50">
          <cell r="BM50" t="str">
            <v>DMNJIP02 (Jipijapa 2, Rural)</v>
          </cell>
        </row>
        <row r="51">
          <cell r="BM51" t="str">
            <v>DMNCAL02 (Junin, Miraflores, el Caucho)</v>
          </cell>
        </row>
        <row r="52">
          <cell r="BM52" t="str">
            <v>DMNTOS03 (Km. 20, la estancilla)</v>
          </cell>
        </row>
        <row r="53">
          <cell r="BM53" t="str">
            <v>DMNMON05 (La Asamblea - Montecristi)</v>
          </cell>
        </row>
        <row r="54">
          <cell r="BM54" t="str">
            <v>DMNCAL01 (La Estancilla)</v>
          </cell>
        </row>
        <row r="55">
          <cell r="BM55" t="str">
            <v>DMNBAH01 (Leonidas Plaza)</v>
          </cell>
        </row>
        <row r="56">
          <cell r="BM56" t="str">
            <v>DMNPOR05 (Los Bosques-5 de Junio)</v>
          </cell>
        </row>
        <row r="57">
          <cell r="BM57" t="str">
            <v>DMNMAN24 (Los Esteros)</v>
          </cell>
        </row>
        <row r="58">
          <cell r="BM58" t="str">
            <v>DMNROC01 (Los Puertos-Charapoto)</v>
          </cell>
        </row>
        <row r="59">
          <cell r="BM59" t="str">
            <v>DMNMAC02 (Machalilla)</v>
          </cell>
        </row>
        <row r="60">
          <cell r="BM60" t="str">
            <v>DMNVIC02 (Malecón-Canoa)</v>
          </cell>
        </row>
        <row r="61">
          <cell r="BM61" t="str">
            <v>DMNMON01 (Montecristi)</v>
          </cell>
        </row>
        <row r="62">
          <cell r="BM62" t="str">
            <v>DMNCOL01 (Pajan)</v>
          </cell>
        </row>
        <row r="63">
          <cell r="BM63" t="str">
            <v>DMNMAN34 (Paseo Shopping, las brisas, marbella)</v>
          </cell>
        </row>
        <row r="64">
          <cell r="BM64" t="str">
            <v>DMNJAM02 (Pedernales)</v>
          </cell>
        </row>
        <row r="65">
          <cell r="BM65" t="str">
            <v>DMNCAY01 (Puerto Cayo)</v>
          </cell>
        </row>
        <row r="66">
          <cell r="BM66" t="str">
            <v>DMNMAC01 (Puerto Lopez)</v>
          </cell>
        </row>
        <row r="67">
          <cell r="BM67" t="str">
            <v>DMNCAL04 (Quiroga)</v>
          </cell>
        </row>
        <row r="68">
          <cell r="BM68" t="str">
            <v>DMNPLA02 (Rio Chico, playa prieta)</v>
          </cell>
        </row>
        <row r="69">
          <cell r="BM69" t="str">
            <v>DMNROC04 (Rio Chico, rocafuerte)</v>
          </cell>
        </row>
        <row r="70">
          <cell r="BM70" t="str">
            <v>DMNROC03 (Rocafuerte centro)</v>
          </cell>
        </row>
        <row r="71">
          <cell r="BM71" t="str">
            <v>DMNVIC03 (Salinas, San Felipe, Horconcito)</v>
          </cell>
        </row>
        <row r="72">
          <cell r="BM72" t="str">
            <v>DMNPOR06 (San Alejo, orquideas, La California)</v>
          </cell>
        </row>
        <row r="73">
          <cell r="BM73" t="str">
            <v>DMNCHO01 (San Antonio-Hospital)</v>
          </cell>
        </row>
        <row r="74">
          <cell r="BM74" t="str">
            <v>DMNSES01 (San Isidro)</v>
          </cell>
        </row>
        <row r="75">
          <cell r="BM75" t="str">
            <v>DMNMAN31 (San Pedro-Eloy Alfaro (Cuba))</v>
          </cell>
        </row>
        <row r="76">
          <cell r="BM76" t="str">
            <v>DMNVIC01 (San Vicente)</v>
          </cell>
        </row>
        <row r="77">
          <cell r="BM77" t="str">
            <v>DMNLOD02 (Santa Ana, bonce, taina)</v>
          </cell>
        </row>
        <row r="78">
          <cell r="BM78" t="str">
            <v>DMNPOR04 (Shopping-Tamarindos)</v>
          </cell>
        </row>
        <row r="79">
          <cell r="BM79" t="str">
            <v>DMNPOR23 (Solca, Cdla los Electricos)</v>
          </cell>
        </row>
        <row r="80">
          <cell r="BM80" t="str">
            <v>DMNCHO03 (Sta. Martha, chone)</v>
          </cell>
        </row>
        <row r="81">
          <cell r="BM81" t="str">
            <v>DMNMAN02 (Tarqui)</v>
          </cell>
        </row>
        <row r="82">
          <cell r="BM82" t="str">
            <v>DMNTOS01 (Tosagua)</v>
          </cell>
        </row>
        <row r="83">
          <cell r="BM83" t="str">
            <v>DMNMAN32 (Urbirrios, 20 de Mayo, el Porvenir)</v>
          </cell>
        </row>
        <row r="84">
          <cell r="BM84" t="str">
            <v>DMNPOR21 (UTM-Avda Universitaria)</v>
          </cell>
        </row>
        <row r="85">
          <cell r="BM85" t="str">
            <v>DMNMAY02 (Via Lodana)</v>
          </cell>
        </row>
        <row r="86">
          <cell r="BM86" t="str">
            <v>DMNPOR34 (Via los Angeles)</v>
          </cell>
        </row>
        <row r="87">
          <cell r="BM87" t="str">
            <v>DMNRIO02 (Via Portoviejo-Antenas-La Pila)</v>
          </cell>
        </row>
      </sheetData>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130 AP"/>
      <sheetName val="TRA-130 C"/>
      <sheetName val="TRA-130 I"/>
      <sheetName val="TRA-130 0"/>
      <sheetName val="TRA-130 R"/>
      <sheetName val="01_kWh GENERACIÓN"/>
      <sheetName val="02_CONSUMO DIESEL"/>
      <sheetName val="RESUMEN "/>
      <sheetName val="03"/>
      <sheetName val="04"/>
      <sheetName val="05"/>
      <sheetName val="06"/>
      <sheetName val="07"/>
      <sheetName val="08_CARTERA VENCIDA &gt;30"/>
      <sheetName val="09_PÉRDIDAS"/>
      <sheetName val="10_TTIK_2013_cabecera "/>
      <sheetName val="11_FMIK_2013_cabecera "/>
      <sheetName val="12#MEDIDORES"/>
      <sheetName val="13"/>
      <sheetName val="14_CLIENTxTRAB_electric "/>
      <sheetName val="15_PEF"/>
      <sheetName val="23_CAMBIO_MEDIDORES"/>
      <sheetName val="24_PROYECTO_PEC"/>
      <sheetName val="ANO MÓVIL AP"/>
      <sheetName val="17_Pago horas extras"/>
      <sheetName val="19 PRESUPUESTO  "/>
      <sheetName val="20 COMPRAS "/>
      <sheetName val="21_RENOVA"/>
      <sheetName val="22_PROYECTOS RENOVABLE"/>
      <sheetName val="25_PROYECTOS INVER."/>
      <sheetName val="24_PROY SOTERRAMIENTO (2)"/>
    </sheetNames>
    <sheetDataSet>
      <sheetData sheetId="0">
        <row r="111">
          <cell r="R111">
            <v>374363.14999999991</v>
          </cell>
        </row>
        <row r="112">
          <cell r="R112">
            <v>372176.97</v>
          </cell>
        </row>
      </sheetData>
      <sheetData sheetId="1">
        <row r="111">
          <cell r="R111">
            <v>1760359.7199999995</v>
          </cell>
        </row>
        <row r="112">
          <cell r="R112">
            <v>1756551.5899999994</v>
          </cell>
        </row>
      </sheetData>
      <sheetData sheetId="2">
        <row r="111">
          <cell r="R111">
            <v>51705.659999999996</v>
          </cell>
        </row>
        <row r="112">
          <cell r="R112">
            <v>52131.289999999994</v>
          </cell>
        </row>
      </sheetData>
      <sheetData sheetId="3">
        <row r="111">
          <cell r="R111">
            <v>858501.04999999981</v>
          </cell>
        </row>
        <row r="112">
          <cell r="R112">
            <v>864797.80999999982</v>
          </cell>
        </row>
      </sheetData>
      <sheetData sheetId="4">
        <row r="111">
          <cell r="R111">
            <v>1852212.44</v>
          </cell>
        </row>
        <row r="112">
          <cell r="R112">
            <v>1857507.97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130 AP"/>
      <sheetName val="TRA-130 C"/>
      <sheetName val="TRA-130 I"/>
      <sheetName val="TRA-130 0"/>
      <sheetName val="TRA-130 R"/>
      <sheetName val="01_kWh GENERACIÓN"/>
      <sheetName val="02_CONSUMO DIESEL"/>
      <sheetName val="RESUMEN "/>
      <sheetName val="03"/>
      <sheetName val="04"/>
      <sheetName val="05"/>
      <sheetName val="06"/>
      <sheetName val="07"/>
      <sheetName val="08_CARTERA VENCIDA &gt;30"/>
      <sheetName val="09_PÉRDIDAS"/>
      <sheetName val="10_TTIK_2013_cabecera "/>
      <sheetName val="11_FMIK_2013_cabecera "/>
      <sheetName val="12#MEDIDORES"/>
      <sheetName val="13"/>
      <sheetName val="14_CLIENTxTRAB_electric "/>
      <sheetName val="15_PEF"/>
      <sheetName val="23_CAMBIO_MEDIDORES"/>
      <sheetName val="24_PROYECTO_PEC"/>
      <sheetName val="ANO MÓVIL AP"/>
      <sheetName val="17_Pago horas extras"/>
      <sheetName val="19 PRESUPUESTO  "/>
      <sheetName val="20 COMPRAS "/>
      <sheetName val="21_RENOVA"/>
      <sheetName val="22_PROYECTOS RENOVABLE"/>
      <sheetName val="25_PROYECTOS INVER."/>
      <sheetName val="24_PROY SOTERRAMIENTO (2)"/>
    </sheetNames>
    <sheetDataSet>
      <sheetData sheetId="0"/>
      <sheetData sheetId="1">
        <row r="64">
          <cell r="AF64">
            <v>178714.64</v>
          </cell>
          <cell r="AG64">
            <v>176917.09999999998</v>
          </cell>
        </row>
        <row r="66">
          <cell r="AF66">
            <v>189544.65999999997</v>
          </cell>
          <cell r="AG66">
            <v>187902.39</v>
          </cell>
        </row>
        <row r="69">
          <cell r="AF69">
            <v>263391.37</v>
          </cell>
          <cell r="AG69">
            <v>263418.25</v>
          </cell>
        </row>
      </sheetData>
      <sheetData sheetId="2">
        <row r="64">
          <cell r="AF64">
            <v>7776.06</v>
          </cell>
          <cell r="AG64">
            <v>7954.6999999999989</v>
          </cell>
        </row>
        <row r="66">
          <cell r="AF66">
            <v>8168.3600000000006</v>
          </cell>
          <cell r="AG66">
            <v>7697.22</v>
          </cell>
        </row>
        <row r="69">
          <cell r="AF69">
            <v>8014.7699999999995</v>
          </cell>
          <cell r="AG69">
            <v>7792.7299999999987</v>
          </cell>
        </row>
      </sheetData>
      <sheetData sheetId="3">
        <row r="64">
          <cell r="AF64">
            <v>84048.60000000002</v>
          </cell>
          <cell r="AG64">
            <v>83211.489999999991</v>
          </cell>
        </row>
        <row r="66">
          <cell r="AF66">
            <v>74132.290000000008</v>
          </cell>
          <cell r="AG66">
            <v>60935.190000000017</v>
          </cell>
        </row>
        <row r="69">
          <cell r="AF69">
            <v>100653.88</v>
          </cell>
          <cell r="AG69">
            <v>101856.05000000003</v>
          </cell>
        </row>
      </sheetData>
      <sheetData sheetId="4">
        <row r="64">
          <cell r="AF64">
            <v>204945.75</v>
          </cell>
          <cell r="AG64">
            <v>195752.5</v>
          </cell>
        </row>
        <row r="66">
          <cell r="AF66">
            <v>205479.05999999997</v>
          </cell>
          <cell r="AG66">
            <v>200022.94999999998</v>
          </cell>
        </row>
        <row r="69">
          <cell r="AF69">
            <v>271039.18</v>
          </cell>
          <cell r="AG69">
            <v>267064.48</v>
          </cell>
        </row>
      </sheetData>
      <sheetData sheetId="5" refreshError="1"/>
      <sheetData sheetId="6" refreshError="1"/>
      <sheetData sheetId="7" refreshError="1"/>
      <sheetData sheetId="8" refreshError="1"/>
      <sheetData sheetId="9">
        <row r="77">
          <cell r="G77">
            <v>5199733.3899999997</v>
          </cell>
        </row>
        <row r="78">
          <cell r="G78">
            <v>5189023.9000000004</v>
          </cell>
        </row>
        <row r="79">
          <cell r="G79">
            <v>5178090.67</v>
          </cell>
        </row>
        <row r="80">
          <cell r="G80">
            <v>4791902.04</v>
          </cell>
        </row>
        <row r="81">
          <cell r="G81">
            <v>4787971.6400000006</v>
          </cell>
        </row>
        <row r="82">
          <cell r="G82">
            <v>4591464.3499999996</v>
          </cell>
        </row>
        <row r="83">
          <cell r="G83">
            <v>4593679.18</v>
          </cell>
        </row>
        <row r="84">
          <cell r="G84">
            <v>4623801.32</v>
          </cell>
        </row>
        <row r="85">
          <cell r="G85">
            <v>4630530.82</v>
          </cell>
        </row>
        <row r="86">
          <cell r="G86">
            <v>4668993.6100000003</v>
          </cell>
        </row>
        <row r="87">
          <cell r="G87">
            <v>4749357.6899999995</v>
          </cell>
        </row>
        <row r="88">
          <cell r="G88">
            <v>4958717.1199999992</v>
          </cell>
        </row>
        <row r="89">
          <cell r="G89">
            <v>4976939.8599999994</v>
          </cell>
        </row>
        <row r="90">
          <cell r="G90">
            <v>4979920.6499999994</v>
          </cell>
        </row>
        <row r="91">
          <cell r="G91">
            <v>4986436.8699999992</v>
          </cell>
        </row>
        <row r="92">
          <cell r="G92">
            <v>5358355.75</v>
          </cell>
        </row>
        <row r="93">
          <cell r="G93">
            <v>5354561.01</v>
          </cell>
        </row>
        <row r="94">
          <cell r="G94">
            <v>5326661.93</v>
          </cell>
        </row>
        <row r="95">
          <cell r="G95">
            <v>5301710.4099999992</v>
          </cell>
        </row>
        <row r="96">
          <cell r="G96">
            <v>5311053.53</v>
          </cell>
        </row>
        <row r="97">
          <cell r="G97">
            <v>5312355.79</v>
          </cell>
        </row>
      </sheetData>
      <sheetData sheetId="10">
        <row r="77">
          <cell r="G77">
            <v>5012960.6500000004</v>
          </cell>
        </row>
        <row r="78">
          <cell r="G78">
            <v>5021364.6800000006</v>
          </cell>
        </row>
        <row r="79">
          <cell r="G79">
            <v>5037185.55</v>
          </cell>
        </row>
        <row r="80">
          <cell r="G80">
            <v>4652500.87</v>
          </cell>
        </row>
        <row r="81">
          <cell r="G81">
            <v>4662062.57</v>
          </cell>
        </row>
        <row r="82">
          <cell r="G82">
            <v>4524494.78</v>
          </cell>
        </row>
        <row r="83">
          <cell r="G83">
            <v>4515880.24</v>
          </cell>
        </row>
        <row r="84">
          <cell r="G84">
            <v>4578860.0999999996</v>
          </cell>
        </row>
        <row r="85">
          <cell r="G85">
            <v>4564238.5200000005</v>
          </cell>
        </row>
        <row r="86">
          <cell r="G86">
            <v>4643706.92</v>
          </cell>
        </row>
        <row r="87">
          <cell r="G87">
            <v>4774444.5</v>
          </cell>
        </row>
        <row r="88">
          <cell r="G88">
            <v>5013022.3599999994</v>
          </cell>
        </row>
        <row r="89">
          <cell r="G89">
            <v>4981225.4399999995</v>
          </cell>
        </row>
        <row r="90">
          <cell r="G90">
            <v>4943580.3099999996</v>
          </cell>
        </row>
        <row r="91">
          <cell r="G91">
            <v>4930897.76</v>
          </cell>
        </row>
        <row r="92">
          <cell r="G92">
            <v>5290908.6400000006</v>
          </cell>
        </row>
        <row r="93">
          <cell r="G93">
            <v>5297728.42</v>
          </cell>
        </row>
        <row r="94">
          <cell r="G94">
            <v>5268071.87</v>
          </cell>
        </row>
        <row r="95">
          <cell r="G95">
            <v>5282365.1399999997</v>
          </cell>
        </row>
        <row r="96">
          <cell r="G96">
            <v>5237825.8199999984</v>
          </cell>
        </row>
        <row r="97">
          <cell r="G97">
            <v>5244570.8099999996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2.bin"/><Relationship Id="rId1" Type="http://schemas.openxmlformats.org/officeDocument/2006/relationships/hyperlink" Target="../../../../../andrea.leon/AppData/Roaming/Microsoft/Excel/AppData/Local/Microsoft/ELECGALAPAGOS%202/AppData/Local/Microsoft/Windows/Temporary%20Internet%20Files/Content.Outlook/AppData/Local/Microsoft/Windows/Temporary%20Internet%20Files/Content.Outlook/AppData/Local/Temp/wzd2e9/INDICADORES%20A%20MAYO%202014%2012-07-2014/ABRIL/INFORME%20P&#201;RDIDAS.docx"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4.bin"/><Relationship Id="rId1" Type="http://schemas.openxmlformats.org/officeDocument/2006/relationships/hyperlink" Target="../../../../../andrea.leon/AppData/Roaming/Microsoft/Excel/AppData/Local/Microsoft/ELECGALAPAGOS%202/AppData/Local/Microsoft/Windows/Temporary%20Internet%20Files/Content.Outlook/AppData/Local/Microsoft/Windows/Temporary%20Internet%20Files/Content.Outlook/AppData/Local/Temp/wzd2e9/INDICADORES%20A%20MAYO%202014%2012-07-2014/ABRIL/INFORME%20INTERRUPCIONES.doc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18.bin"/><Relationship Id="rId5" Type="http://schemas.openxmlformats.org/officeDocument/2006/relationships/image" Target="../media/image17.emf"/><Relationship Id="rId4" Type="http://schemas.openxmlformats.org/officeDocument/2006/relationships/oleObject" Target="../embeddings/oleObject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1.bin"/><Relationship Id="rId1" Type="http://schemas.openxmlformats.org/officeDocument/2006/relationships/hyperlink" Target="../../../../../andrea.leon/AppData/Roaming/Microsoft/Excel/AppData/Local/Microsoft/ELECGALAPAGOS%202/AppData/Local/Microsoft/Windows/anibal.alarcon.EEPG/AppData/Local/Microsoft/Windows/Temporary%20Internet%20Files/Content.Outlook/AppData/Local/Microsoft/Windows/Temporary%20Internet%20Files/Content.Outlook/AppData/Local/Microsoft/Windows/Temporary%20Internet%20Files/Content.Outlook/AppData/Local/Microsoft/Windows/Temporary%20Internet%20Files/Content.Outlook/AppData/Local/Temp/wzd2e9/INDICADORES%20A%20MAYO%202014%2012-07-2014/ABRIL/INFORME%20INTERRUPCIONES.docx"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0.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AF1155"/>
  <sheetViews>
    <sheetView view="pageBreakPreview" zoomScale="60" zoomScaleNormal="100" workbookViewId="0"/>
  </sheetViews>
  <sheetFormatPr baseColWidth="10" defaultColWidth="12" defaultRowHeight="9.9499999999999993" customHeight="1"/>
  <cols>
    <col min="1" max="1" width="0.33203125" style="490" customWidth="1"/>
    <col min="2" max="3" width="12" style="490"/>
    <col min="4" max="4" width="10.5" style="490" customWidth="1"/>
    <col min="5" max="5" width="12" style="490"/>
    <col min="6" max="6" width="12" style="490" customWidth="1"/>
    <col min="7" max="7" width="12" style="490"/>
    <col min="8" max="8" width="7.5" style="490" customWidth="1"/>
    <col min="9" max="9" width="12" style="490"/>
    <col min="10" max="10" width="7.6640625" style="490" customWidth="1"/>
    <col min="11" max="11" width="12" style="490"/>
    <col min="12" max="12" width="13.33203125" style="490" customWidth="1"/>
    <col min="13" max="16384" width="12" style="490"/>
  </cols>
  <sheetData>
    <row r="1" spans="1:32" ht="9.9499999999999993" customHeight="1">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row>
    <row r="2" spans="1:32" ht="9.9499999999999993" customHeight="1">
      <c r="A2" s="505"/>
      <c r="B2" s="486"/>
      <c r="C2" s="487"/>
      <c r="D2" s="487"/>
      <c r="E2" s="487"/>
      <c r="F2" s="488"/>
      <c r="G2" s="487"/>
      <c r="H2" s="487"/>
      <c r="I2" s="487"/>
      <c r="J2" s="487"/>
      <c r="K2" s="489"/>
      <c r="L2" s="505"/>
      <c r="M2" s="505"/>
      <c r="N2" s="505"/>
      <c r="O2" s="505"/>
      <c r="P2" s="505"/>
      <c r="Q2" s="505"/>
      <c r="R2" s="505"/>
      <c r="S2" s="505"/>
      <c r="T2" s="505"/>
      <c r="U2" s="505"/>
      <c r="V2" s="505"/>
      <c r="W2" s="505"/>
      <c r="X2" s="505"/>
      <c r="Y2" s="505"/>
      <c r="Z2" s="505"/>
      <c r="AA2" s="505"/>
      <c r="AB2" s="505"/>
      <c r="AC2" s="505"/>
      <c r="AD2" s="505"/>
      <c r="AE2" s="505"/>
      <c r="AF2" s="505"/>
    </row>
    <row r="3" spans="1:32" ht="9.9499999999999993" customHeight="1">
      <c r="A3" s="505"/>
      <c r="B3" s="486"/>
      <c r="C3" s="487"/>
      <c r="D3" s="487"/>
      <c r="E3" s="487"/>
      <c r="F3" s="488"/>
      <c r="G3" s="487"/>
      <c r="H3" s="487"/>
      <c r="I3" s="487"/>
      <c r="J3" s="487"/>
      <c r="K3" s="489"/>
      <c r="L3" s="505"/>
      <c r="M3" s="505"/>
      <c r="N3" s="505"/>
      <c r="O3" s="505"/>
      <c r="P3" s="505"/>
      <c r="Q3" s="505"/>
      <c r="R3" s="505"/>
      <c r="S3" s="505"/>
      <c r="T3" s="505"/>
      <c r="U3" s="505"/>
      <c r="V3" s="505"/>
      <c r="W3" s="505"/>
      <c r="X3" s="505"/>
      <c r="Y3" s="505"/>
      <c r="Z3" s="505"/>
      <c r="AA3" s="505"/>
      <c r="AB3" s="505"/>
      <c r="AC3" s="505"/>
      <c r="AD3" s="505"/>
      <c r="AE3" s="505"/>
      <c r="AF3" s="505"/>
    </row>
    <row r="4" spans="1:32" ht="9.9499999999999993" customHeight="1">
      <c r="A4" s="505"/>
      <c r="B4" s="486"/>
      <c r="C4" s="487"/>
      <c r="D4" s="487"/>
      <c r="E4" s="487"/>
      <c r="F4" s="488"/>
      <c r="G4" s="487"/>
      <c r="H4" s="487"/>
      <c r="I4" s="487"/>
      <c r="J4" s="487"/>
      <c r="K4" s="489"/>
      <c r="L4" s="505"/>
      <c r="M4" s="505"/>
      <c r="N4" s="505"/>
      <c r="O4" s="505"/>
      <c r="P4" s="505"/>
      <c r="Q4" s="505"/>
      <c r="R4" s="505"/>
      <c r="S4" s="505"/>
      <c r="T4" s="505"/>
      <c r="U4" s="505"/>
      <c r="V4" s="505"/>
      <c r="W4" s="505"/>
      <c r="X4" s="505"/>
      <c r="Y4" s="505"/>
      <c r="Z4" s="505"/>
      <c r="AA4" s="505"/>
      <c r="AB4" s="505"/>
      <c r="AC4" s="505"/>
      <c r="AD4" s="505"/>
      <c r="AE4" s="505"/>
      <c r="AF4" s="505"/>
    </row>
    <row r="5" spans="1:32" ht="9.9499999999999993" customHeight="1">
      <c r="A5" s="505"/>
      <c r="B5" s="486"/>
      <c r="C5" s="487"/>
      <c r="D5" s="487"/>
      <c r="E5" s="487"/>
      <c r="F5" s="488"/>
      <c r="G5" s="487"/>
      <c r="H5" s="487"/>
      <c r="I5" s="487"/>
      <c r="J5" s="487"/>
      <c r="K5" s="489"/>
      <c r="L5" s="505"/>
      <c r="M5" s="505"/>
      <c r="N5" s="505"/>
      <c r="O5" s="505"/>
      <c r="P5" s="505"/>
      <c r="Q5" s="505"/>
      <c r="R5" s="505"/>
      <c r="S5" s="505"/>
      <c r="T5" s="505"/>
      <c r="U5" s="505"/>
      <c r="V5" s="505"/>
      <c r="W5" s="505"/>
      <c r="X5" s="505"/>
      <c r="Y5" s="505"/>
      <c r="Z5" s="505"/>
      <c r="AA5" s="505"/>
      <c r="AB5" s="505"/>
      <c r="AC5" s="505"/>
      <c r="AD5" s="505"/>
      <c r="AE5" s="505"/>
      <c r="AF5" s="505"/>
    </row>
    <row r="6" spans="1:32" ht="9.9499999999999993" customHeight="1" thickBot="1">
      <c r="A6" s="505"/>
      <c r="B6" s="491"/>
      <c r="C6" s="492"/>
      <c r="D6" s="492"/>
      <c r="E6" s="492"/>
      <c r="F6" s="493"/>
      <c r="G6" s="487"/>
      <c r="H6" s="487"/>
      <c r="I6" s="487"/>
      <c r="J6" s="487"/>
      <c r="K6" s="489"/>
      <c r="L6" s="505"/>
      <c r="M6" s="505"/>
      <c r="N6" s="505"/>
      <c r="O6" s="505"/>
      <c r="P6" s="505"/>
      <c r="Q6" s="505"/>
      <c r="R6" s="505"/>
      <c r="S6" s="505"/>
      <c r="T6" s="505"/>
      <c r="U6" s="505"/>
      <c r="V6" s="505"/>
      <c r="W6" s="505"/>
      <c r="X6" s="505"/>
      <c r="Y6" s="505"/>
      <c r="Z6" s="505"/>
      <c r="AA6" s="505"/>
      <c r="AB6" s="505"/>
      <c r="AC6" s="505"/>
      <c r="AD6" s="505"/>
      <c r="AE6" s="505"/>
      <c r="AF6" s="505"/>
    </row>
    <row r="7" spans="1:32" ht="9.9499999999999993" customHeight="1">
      <c r="A7" s="505"/>
      <c r="B7" s="494"/>
      <c r="C7" s="487"/>
      <c r="D7" s="487"/>
      <c r="E7" s="487"/>
      <c r="F7" s="489"/>
      <c r="G7" s="487"/>
      <c r="H7" s="487"/>
      <c r="I7" s="487"/>
      <c r="J7" s="487"/>
      <c r="K7" s="489"/>
      <c r="L7" s="505"/>
      <c r="M7" s="505"/>
      <c r="N7" s="505"/>
      <c r="O7" s="505"/>
      <c r="P7" s="505"/>
      <c r="Q7" s="505"/>
      <c r="R7" s="505"/>
      <c r="S7" s="505"/>
      <c r="T7" s="505"/>
      <c r="U7" s="505"/>
      <c r="V7" s="505"/>
      <c r="W7" s="505"/>
      <c r="X7" s="505"/>
      <c r="Y7" s="505"/>
      <c r="Z7" s="505"/>
      <c r="AA7" s="505"/>
      <c r="AB7" s="505"/>
      <c r="AC7" s="505"/>
      <c r="AD7" s="505"/>
      <c r="AE7" s="505"/>
      <c r="AF7" s="505"/>
    </row>
    <row r="8" spans="1:32" ht="9.9499999999999993" customHeight="1">
      <c r="A8" s="505"/>
      <c r="B8" s="494"/>
      <c r="C8" s="487"/>
      <c r="D8" s="487"/>
      <c r="E8" s="487"/>
      <c r="F8" s="489"/>
      <c r="G8" s="487"/>
      <c r="H8" s="487"/>
      <c r="I8" s="487"/>
      <c r="J8" s="487"/>
      <c r="K8" s="489"/>
      <c r="L8" s="505"/>
      <c r="M8" s="505"/>
      <c r="N8" s="505"/>
      <c r="O8" s="505"/>
      <c r="P8" s="505"/>
      <c r="Q8" s="505"/>
      <c r="R8" s="505"/>
      <c r="S8" s="505"/>
      <c r="T8" s="505"/>
      <c r="U8" s="505"/>
      <c r="V8" s="505"/>
      <c r="W8" s="505"/>
      <c r="X8" s="505"/>
      <c r="Y8" s="505"/>
      <c r="Z8" s="505"/>
      <c r="AA8" s="505"/>
      <c r="AB8" s="505"/>
      <c r="AC8" s="505"/>
      <c r="AD8" s="505"/>
      <c r="AE8" s="505"/>
      <c r="AF8" s="505"/>
    </row>
    <row r="9" spans="1:32" ht="9.9499999999999993" customHeight="1">
      <c r="A9" s="505"/>
      <c r="B9" s="494"/>
      <c r="C9" s="487"/>
      <c r="D9" s="487"/>
      <c r="E9" s="487"/>
      <c r="F9" s="489"/>
      <c r="G9" s="487"/>
      <c r="H9" s="487"/>
      <c r="I9" s="487"/>
      <c r="J9" s="487"/>
      <c r="K9" s="489"/>
      <c r="L9" s="505"/>
      <c r="M9" s="505"/>
      <c r="N9" s="505"/>
      <c r="O9" s="505"/>
      <c r="P9" s="505"/>
      <c r="Q9" s="505"/>
      <c r="R9" s="505"/>
      <c r="S9" s="505"/>
      <c r="T9" s="505"/>
      <c r="U9" s="505"/>
      <c r="V9" s="505"/>
      <c r="W9" s="505"/>
      <c r="X9" s="505"/>
      <c r="Y9" s="505"/>
      <c r="Z9" s="505"/>
      <c r="AA9" s="505"/>
      <c r="AB9" s="505"/>
      <c r="AC9" s="505"/>
      <c r="AD9" s="505"/>
      <c r="AE9" s="505"/>
      <c r="AF9" s="505"/>
    </row>
    <row r="10" spans="1:32" ht="9.9499999999999993" customHeight="1">
      <c r="A10" s="505"/>
      <c r="B10" s="494"/>
      <c r="C10" s="487"/>
      <c r="D10" s="487"/>
      <c r="E10" s="487"/>
      <c r="F10" s="489"/>
      <c r="G10" s="487"/>
      <c r="H10" s="487"/>
      <c r="I10" s="487"/>
      <c r="J10" s="487"/>
      <c r="K10" s="489"/>
      <c r="L10" s="505"/>
      <c r="M10" s="505"/>
      <c r="N10" s="505"/>
      <c r="O10" s="505"/>
      <c r="P10" s="505"/>
      <c r="Q10" s="505"/>
      <c r="R10" s="505"/>
      <c r="S10" s="505"/>
      <c r="T10" s="505"/>
      <c r="U10" s="505"/>
      <c r="V10" s="505"/>
      <c r="W10" s="505"/>
      <c r="X10" s="505"/>
      <c r="Y10" s="505"/>
      <c r="Z10" s="505"/>
      <c r="AA10" s="505"/>
      <c r="AB10" s="505"/>
      <c r="AC10" s="505"/>
      <c r="AD10" s="505"/>
      <c r="AE10" s="505"/>
      <c r="AF10" s="505"/>
    </row>
    <row r="11" spans="1:32" ht="9.9499999999999993" customHeight="1">
      <c r="A11" s="505"/>
      <c r="B11" s="494"/>
      <c r="C11" s="487"/>
      <c r="D11" s="487"/>
      <c r="E11" s="487"/>
      <c r="F11" s="489"/>
      <c r="G11" s="487"/>
      <c r="H11" s="487"/>
      <c r="I11" s="487"/>
      <c r="J11" s="487"/>
      <c r="K11" s="489"/>
      <c r="L11" s="505"/>
      <c r="M11" s="505"/>
      <c r="N11" s="505"/>
      <c r="O11" s="505"/>
      <c r="P11" s="505"/>
      <c r="Q11" s="505"/>
      <c r="R11" s="505"/>
      <c r="S11" s="505"/>
      <c r="T11" s="505"/>
      <c r="U11" s="505"/>
      <c r="V11" s="505"/>
      <c r="W11" s="505"/>
      <c r="X11" s="505"/>
      <c r="Y11" s="505"/>
      <c r="Z11" s="505"/>
      <c r="AA11" s="505"/>
      <c r="AB11" s="505"/>
      <c r="AC11" s="505"/>
      <c r="AD11" s="505"/>
      <c r="AE11" s="505"/>
      <c r="AF11" s="505"/>
    </row>
    <row r="12" spans="1:32" ht="9.9499999999999993" customHeight="1">
      <c r="A12" s="505"/>
      <c r="B12" s="494"/>
      <c r="C12" s="487"/>
      <c r="D12" s="487"/>
      <c r="E12" s="487"/>
      <c r="F12" s="489"/>
      <c r="G12" s="487"/>
      <c r="H12" s="487"/>
      <c r="I12" s="487"/>
      <c r="J12" s="487"/>
      <c r="K12" s="489"/>
      <c r="L12" s="505"/>
      <c r="M12" s="505"/>
      <c r="N12" s="505"/>
      <c r="O12" s="505"/>
      <c r="P12" s="505"/>
      <c r="Q12" s="505"/>
      <c r="R12" s="505"/>
      <c r="S12" s="505"/>
      <c r="T12" s="505"/>
      <c r="U12" s="505"/>
      <c r="V12" s="505"/>
      <c r="W12" s="505"/>
      <c r="X12" s="505"/>
      <c r="Y12" s="505"/>
      <c r="Z12" s="505"/>
      <c r="AA12" s="505"/>
      <c r="AB12" s="505"/>
      <c r="AC12" s="505"/>
      <c r="AD12" s="505"/>
      <c r="AE12" s="505"/>
      <c r="AF12" s="505"/>
    </row>
    <row r="13" spans="1:32" ht="9.9499999999999993" customHeight="1">
      <c r="A13" s="505"/>
      <c r="B13" s="494"/>
      <c r="C13" s="487"/>
      <c r="D13" s="487"/>
      <c r="E13" s="487"/>
      <c r="F13" s="489"/>
      <c r="G13" s="487"/>
      <c r="H13" s="487"/>
      <c r="I13" s="487"/>
      <c r="J13" s="487"/>
      <c r="K13" s="489"/>
      <c r="L13" s="505"/>
      <c r="M13" s="505"/>
      <c r="N13" s="505"/>
      <c r="O13" s="505"/>
      <c r="P13" s="505"/>
      <c r="Q13" s="505"/>
      <c r="R13" s="505"/>
      <c r="S13" s="505"/>
      <c r="T13" s="505"/>
      <c r="U13" s="505"/>
      <c r="V13" s="505"/>
      <c r="W13" s="505"/>
      <c r="X13" s="505"/>
      <c r="Y13" s="505"/>
      <c r="Z13" s="505"/>
      <c r="AA13" s="505"/>
      <c r="AB13" s="505"/>
      <c r="AC13" s="505"/>
      <c r="AD13" s="505"/>
      <c r="AE13" s="505"/>
      <c r="AF13" s="505"/>
    </row>
    <row r="14" spans="1:32" ht="9.9499999999999993" customHeight="1">
      <c r="A14" s="505"/>
      <c r="B14" s="494"/>
      <c r="C14" s="487"/>
      <c r="D14" s="487"/>
      <c r="E14" s="487"/>
      <c r="F14" s="489"/>
      <c r="G14" s="487"/>
      <c r="H14" s="487"/>
      <c r="I14" s="487"/>
      <c r="J14" s="487"/>
      <c r="K14" s="489"/>
      <c r="L14" s="505"/>
      <c r="M14" s="505"/>
      <c r="N14" s="505"/>
      <c r="O14" s="505"/>
      <c r="P14" s="505"/>
      <c r="Q14" s="505"/>
      <c r="R14" s="505"/>
      <c r="S14" s="505"/>
      <c r="T14" s="505"/>
      <c r="U14" s="505"/>
      <c r="V14" s="505"/>
      <c r="W14" s="505"/>
      <c r="X14" s="505"/>
      <c r="Y14" s="505"/>
      <c r="Z14" s="505"/>
      <c r="AA14" s="505"/>
      <c r="AB14" s="505"/>
      <c r="AC14" s="505"/>
      <c r="AD14" s="505"/>
      <c r="AE14" s="505"/>
      <c r="AF14" s="505"/>
    </row>
    <row r="15" spans="1:32" ht="9.9499999999999993" customHeight="1">
      <c r="A15" s="505"/>
      <c r="B15" s="494"/>
      <c r="C15" s="487"/>
      <c r="D15" s="487"/>
      <c r="E15" s="487"/>
      <c r="F15" s="489"/>
      <c r="G15" s="487"/>
      <c r="H15" s="487"/>
      <c r="I15" s="487"/>
      <c r="J15" s="487"/>
      <c r="K15" s="489"/>
      <c r="L15" s="505"/>
      <c r="M15" s="505"/>
      <c r="N15" s="505"/>
      <c r="O15" s="505"/>
      <c r="P15" s="505"/>
      <c r="Q15" s="506"/>
      <c r="R15" s="505"/>
      <c r="S15" s="505"/>
      <c r="T15" s="505"/>
      <c r="U15" s="505"/>
      <c r="V15" s="505"/>
      <c r="W15" s="505"/>
      <c r="X15" s="505"/>
      <c r="Y15" s="505"/>
      <c r="Z15" s="505"/>
      <c r="AA15" s="505"/>
      <c r="AB15" s="505"/>
      <c r="AC15" s="505"/>
      <c r="AD15" s="505"/>
      <c r="AE15" s="505"/>
      <c r="AF15" s="505"/>
    </row>
    <row r="16" spans="1:32" ht="9.9499999999999993" customHeight="1">
      <c r="A16" s="505"/>
      <c r="B16" s="494"/>
      <c r="C16" s="487"/>
      <c r="D16" s="487"/>
      <c r="E16" s="487"/>
      <c r="F16" s="489"/>
      <c r="G16" s="487"/>
      <c r="H16" s="487"/>
      <c r="I16" s="487"/>
      <c r="J16" s="487"/>
      <c r="K16" s="489"/>
      <c r="L16" s="505"/>
      <c r="M16" s="505"/>
      <c r="N16" s="505"/>
      <c r="O16" s="505"/>
      <c r="P16" s="505"/>
      <c r="Q16" s="505"/>
      <c r="R16" s="505"/>
      <c r="S16" s="505"/>
      <c r="T16" s="505"/>
      <c r="U16" s="505"/>
      <c r="V16" s="505"/>
      <c r="W16" s="505"/>
      <c r="X16" s="505"/>
      <c r="Y16" s="505"/>
      <c r="Z16" s="505"/>
      <c r="AA16" s="505"/>
      <c r="AB16" s="505"/>
      <c r="AC16" s="505"/>
      <c r="AD16" s="505"/>
      <c r="AE16" s="505"/>
      <c r="AF16" s="505"/>
    </row>
    <row r="17" spans="1:32" ht="9.9499999999999993" customHeight="1">
      <c r="A17" s="505"/>
      <c r="B17" s="494"/>
      <c r="C17" s="487"/>
      <c r="D17" s="487"/>
      <c r="E17" s="487"/>
      <c r="F17" s="489"/>
      <c r="G17" s="487"/>
      <c r="H17" s="487"/>
      <c r="I17" s="487"/>
      <c r="J17" s="487"/>
      <c r="K17" s="489"/>
      <c r="L17" s="505"/>
      <c r="M17"/>
      <c r="N17" s="505"/>
      <c r="O17" s="505"/>
      <c r="P17" s="505"/>
      <c r="Q17" s="505"/>
      <c r="R17" s="505"/>
      <c r="S17" s="505"/>
      <c r="T17" s="505"/>
      <c r="U17" s="505"/>
      <c r="V17" s="505"/>
      <c r="W17" s="505"/>
      <c r="X17" s="505"/>
      <c r="Y17" s="505"/>
      <c r="Z17" s="505"/>
      <c r="AA17" s="505"/>
      <c r="AB17" s="505"/>
      <c r="AC17" s="505"/>
      <c r="AD17" s="505"/>
      <c r="AE17" s="505"/>
      <c r="AF17" s="505"/>
    </row>
    <row r="18" spans="1:32" ht="9.9499999999999993" customHeight="1">
      <c r="A18" s="505"/>
      <c r="B18" s="494"/>
      <c r="C18" s="487"/>
      <c r="D18" s="487"/>
      <c r="E18" s="487"/>
      <c r="F18" s="489"/>
      <c r="G18" s="487"/>
      <c r="H18" s="487"/>
      <c r="I18" s="487"/>
      <c r="J18" s="487"/>
      <c r="K18" s="489"/>
      <c r="L18" s="505"/>
      <c r="M18" s="511"/>
      <c r="N18" s="505"/>
      <c r="O18" s="505"/>
      <c r="P18" s="505"/>
      <c r="Q18" s="505"/>
      <c r="R18" s="505"/>
      <c r="S18" s="505"/>
      <c r="T18" s="505"/>
      <c r="U18" s="505"/>
      <c r="V18" s="505"/>
      <c r="W18" s="505"/>
      <c r="X18" s="505"/>
      <c r="Y18" s="505"/>
      <c r="Z18" s="505"/>
      <c r="AA18" s="505"/>
      <c r="AB18" s="505"/>
      <c r="AC18" s="505"/>
      <c r="AD18" s="505"/>
      <c r="AE18" s="505"/>
      <c r="AF18" s="505"/>
    </row>
    <row r="19" spans="1:32" ht="9.9499999999999993" customHeight="1">
      <c r="A19" s="505"/>
      <c r="B19" s="494"/>
      <c r="C19" s="487"/>
      <c r="D19" s="487"/>
      <c r="E19" s="487"/>
      <c r="F19" s="489"/>
      <c r="G19" s="487"/>
      <c r="H19" s="487"/>
      <c r="I19" s="487"/>
      <c r="J19" s="487"/>
      <c r="K19" s="489"/>
      <c r="L19" s="505"/>
      <c r="M19" s="507"/>
      <c r="N19" s="505"/>
      <c r="O19" s="505"/>
      <c r="P19" s="505"/>
      <c r="Q19" s="505"/>
      <c r="R19" s="505"/>
      <c r="S19" s="505"/>
      <c r="T19" s="505"/>
      <c r="U19" s="505"/>
      <c r="V19" s="505"/>
      <c r="W19" s="505"/>
      <c r="X19" s="505"/>
      <c r="Y19" s="505"/>
      <c r="Z19" s="505"/>
      <c r="AA19" s="505"/>
      <c r="AB19" s="505"/>
      <c r="AC19" s="505"/>
      <c r="AD19" s="505"/>
      <c r="AE19" s="505"/>
      <c r="AF19" s="505"/>
    </row>
    <row r="20" spans="1:32" ht="9.9499999999999993" customHeight="1">
      <c r="A20" s="505"/>
      <c r="B20" s="494"/>
      <c r="C20" s="487"/>
      <c r="D20" s="487"/>
      <c r="E20" s="487"/>
      <c r="F20" s="489"/>
      <c r="G20" s="487"/>
      <c r="H20" s="487"/>
      <c r="I20" s="487"/>
      <c r="J20" s="487"/>
      <c r="K20" s="489"/>
      <c r="L20" s="505"/>
      <c r="M20" s="505"/>
      <c r="N20"/>
      <c r="O20" s="505"/>
      <c r="P20" s="505"/>
      <c r="Q20" s="505"/>
      <c r="R20" s="505"/>
      <c r="S20" s="505"/>
      <c r="T20" s="505"/>
      <c r="U20" s="505"/>
      <c r="V20" s="505"/>
      <c r="W20" s="505"/>
      <c r="X20" s="505"/>
      <c r="Y20" s="505"/>
      <c r="Z20" s="505"/>
      <c r="AA20" s="505"/>
      <c r="AB20" s="505"/>
      <c r="AC20" s="505"/>
      <c r="AD20" s="505"/>
      <c r="AE20" s="505"/>
      <c r="AF20" s="505"/>
    </row>
    <row r="21" spans="1:32" ht="9.9499999999999993" customHeight="1">
      <c r="A21" s="505"/>
      <c r="B21" s="494"/>
      <c r="C21" s="487"/>
      <c r="D21" s="487"/>
      <c r="E21" s="487"/>
      <c r="F21" s="489"/>
      <c r="G21" s="487"/>
      <c r="H21" s="487"/>
      <c r="I21" s="487"/>
      <c r="J21" s="487"/>
      <c r="K21" s="489"/>
      <c r="L21" s="505"/>
      <c r="M21" s="505"/>
      <c r="N21" s="505"/>
      <c r="O21" s="505"/>
      <c r="P21" s="505"/>
      <c r="Q21" s="505"/>
      <c r="R21" s="505"/>
      <c r="S21" s="505"/>
      <c r="T21" s="505"/>
      <c r="U21" s="505"/>
      <c r="V21" s="505"/>
      <c r="W21" s="505"/>
      <c r="X21" s="505"/>
      <c r="Y21" s="505"/>
      <c r="Z21" s="505"/>
      <c r="AA21" s="505"/>
      <c r="AB21" s="505"/>
      <c r="AC21" s="505"/>
      <c r="AD21" s="505"/>
      <c r="AE21" s="505"/>
      <c r="AF21" s="505"/>
    </row>
    <row r="22" spans="1:32" ht="9.9499999999999993" customHeight="1">
      <c r="A22" s="505"/>
      <c r="B22" s="494"/>
      <c r="C22" s="487"/>
      <c r="D22" s="487"/>
      <c r="E22" s="487"/>
      <c r="F22" s="489"/>
      <c r="G22" s="487"/>
      <c r="H22" s="487"/>
      <c r="I22" s="487"/>
      <c r="J22" s="487"/>
      <c r="K22" s="489"/>
      <c r="L22" s="505"/>
      <c r="M22" s="505"/>
      <c r="N22" s="505"/>
      <c r="O22"/>
      <c r="P22" s="505"/>
      <c r="Q22" s="505"/>
      <c r="R22" s="505"/>
      <c r="S22" s="505"/>
      <c r="T22" s="505"/>
      <c r="U22" s="505"/>
      <c r="V22" s="505"/>
      <c r="W22" s="505"/>
      <c r="X22" s="505"/>
      <c r="Y22" s="505"/>
      <c r="Z22" s="505"/>
      <c r="AA22" s="505"/>
      <c r="AB22" s="505"/>
      <c r="AC22" s="505"/>
      <c r="AD22" s="505"/>
      <c r="AE22" s="505"/>
      <c r="AF22" s="505"/>
    </row>
    <row r="23" spans="1:32" ht="9.9499999999999993" customHeight="1">
      <c r="A23" s="505"/>
      <c r="B23" s="494"/>
      <c r="C23" s="487"/>
      <c r="D23" s="487"/>
      <c r="E23" s="487"/>
      <c r="F23" s="489"/>
      <c r="G23" s="487"/>
      <c r="H23" s="487"/>
      <c r="I23" s="487"/>
      <c r="J23" s="487"/>
      <c r="K23" s="489"/>
      <c r="L23" s="505"/>
      <c r="M23" s="505"/>
      <c r="N23" s="505"/>
      <c r="O23" s="505"/>
      <c r="P23" s="505"/>
      <c r="Q23" s="505"/>
      <c r="R23" s="505"/>
      <c r="S23" s="505"/>
      <c r="T23" s="505"/>
      <c r="U23" s="505"/>
      <c r="V23" s="505"/>
      <c r="W23" s="505"/>
      <c r="X23" s="505"/>
      <c r="Y23" s="505"/>
      <c r="Z23" s="505"/>
      <c r="AA23" s="505"/>
      <c r="AB23" s="505"/>
      <c r="AC23" s="505"/>
      <c r="AD23" s="505"/>
      <c r="AE23" s="505"/>
      <c r="AF23" s="505"/>
    </row>
    <row r="24" spans="1:32" ht="9.9499999999999993" customHeight="1">
      <c r="A24" s="505"/>
      <c r="B24" s="494"/>
      <c r="C24" s="487"/>
      <c r="D24" s="487"/>
      <c r="E24" s="487"/>
      <c r="F24" s="489"/>
      <c r="G24" s="487"/>
      <c r="H24" s="487"/>
      <c r="I24" s="487"/>
      <c r="J24" s="487"/>
      <c r="K24" s="489"/>
      <c r="L24" s="505"/>
      <c r="M24" s="505"/>
      <c r="N24"/>
      <c r="O24" s="505"/>
      <c r="P24" s="505"/>
      <c r="Q24" s="505"/>
      <c r="R24" s="505"/>
      <c r="S24" s="505"/>
      <c r="T24" s="505"/>
      <c r="U24" s="505"/>
      <c r="V24" s="505"/>
      <c r="W24" s="505"/>
      <c r="X24" s="505"/>
      <c r="Y24" s="505"/>
      <c r="Z24" s="505"/>
      <c r="AA24" s="505"/>
      <c r="AB24" s="505"/>
      <c r="AC24" s="505"/>
      <c r="AD24" s="505"/>
      <c r="AE24" s="505"/>
      <c r="AF24" s="505"/>
    </row>
    <row r="25" spans="1:32" ht="9.9499999999999993" customHeight="1">
      <c r="A25" s="505"/>
      <c r="B25" s="494"/>
      <c r="C25" s="487"/>
      <c r="D25" s="487"/>
      <c r="E25" s="487"/>
      <c r="F25" s="489"/>
      <c r="G25" s="487"/>
      <c r="H25" s="487"/>
      <c r="I25" s="487"/>
      <c r="J25" s="487"/>
      <c r="K25" s="489"/>
      <c r="L25" s="505"/>
      <c r="M25" s="505"/>
      <c r="N25" s="505"/>
      <c r="O25"/>
      <c r="P25" s="505"/>
      <c r="Q25" s="505"/>
      <c r="R25" s="505"/>
      <c r="S25" s="505"/>
      <c r="T25" s="505"/>
      <c r="U25" s="505"/>
      <c r="V25" s="505"/>
      <c r="W25" s="505"/>
      <c r="X25" s="505"/>
      <c r="Y25" s="505"/>
      <c r="Z25" s="505"/>
      <c r="AA25" s="505"/>
      <c r="AB25" s="505"/>
      <c r="AC25" s="505"/>
      <c r="AD25" s="505"/>
      <c r="AE25" s="505"/>
      <c r="AF25" s="505"/>
    </row>
    <row r="26" spans="1:32" ht="9.9499999999999993" customHeight="1">
      <c r="A26" s="505"/>
      <c r="B26" s="494"/>
      <c r="C26" s="487"/>
      <c r="D26" s="487"/>
      <c r="E26" s="487"/>
      <c r="F26" s="489"/>
      <c r="G26" s="487"/>
      <c r="H26" s="487"/>
      <c r="I26" s="487"/>
      <c r="J26" s="487"/>
      <c r="K26" s="489"/>
      <c r="L26" s="505"/>
      <c r="M26" s="505"/>
      <c r="N26" s="505"/>
      <c r="O26" s="505"/>
      <c r="P26" s="505"/>
      <c r="Q26" s="505"/>
      <c r="R26" s="505"/>
      <c r="S26" s="505"/>
      <c r="T26" s="505"/>
      <c r="U26" s="505"/>
      <c r="V26" s="505"/>
      <c r="W26" s="505"/>
      <c r="X26" s="505"/>
      <c r="Y26" s="505"/>
      <c r="Z26" s="505"/>
      <c r="AA26" s="505"/>
      <c r="AB26" s="505"/>
      <c r="AC26" s="505"/>
      <c r="AD26" s="505"/>
      <c r="AE26" s="505"/>
      <c r="AF26" s="505"/>
    </row>
    <row r="27" spans="1:32" ht="9.9499999999999993" customHeight="1">
      <c r="A27" s="505"/>
      <c r="B27" s="494"/>
      <c r="C27" s="487"/>
      <c r="D27" s="487"/>
      <c r="E27" s="487"/>
      <c r="F27" s="489"/>
      <c r="G27" s="487"/>
      <c r="H27" s="487"/>
      <c r="I27" s="487"/>
      <c r="J27" s="487"/>
      <c r="K27" s="489"/>
      <c r="L27" s="505"/>
      <c r="M27" s="505"/>
      <c r="N27" s="505"/>
      <c r="O27" s="505"/>
      <c r="P27" s="505"/>
      <c r="Q27" s="505"/>
      <c r="R27" s="505"/>
      <c r="S27" s="505"/>
      <c r="T27" s="505"/>
      <c r="U27" s="505"/>
      <c r="V27" s="505"/>
      <c r="W27" s="505"/>
      <c r="X27" s="505"/>
      <c r="Y27" s="505"/>
      <c r="Z27" s="505"/>
      <c r="AA27" s="505"/>
      <c r="AB27" s="505"/>
      <c r="AC27" s="505"/>
      <c r="AD27" s="505"/>
      <c r="AE27" s="505"/>
      <c r="AF27" s="505"/>
    </row>
    <row r="28" spans="1:32" ht="9.9499999999999993" customHeight="1">
      <c r="A28" s="505"/>
      <c r="B28" s="494"/>
      <c r="C28" s="487"/>
      <c r="D28" s="487"/>
      <c r="E28" s="487"/>
      <c r="F28" s="489"/>
      <c r="G28" s="487"/>
      <c r="H28" s="487"/>
      <c r="I28" s="487"/>
      <c r="J28" s="487"/>
      <c r="K28" s="489"/>
      <c r="L28" s="505"/>
      <c r="M28" s="505"/>
      <c r="N28" s="505"/>
      <c r="O28" s="505"/>
      <c r="P28" s="505"/>
      <c r="Q28" s="505"/>
      <c r="R28" s="505"/>
      <c r="S28" s="505"/>
      <c r="T28" s="505"/>
      <c r="U28" s="505"/>
      <c r="V28" s="505"/>
      <c r="W28" s="505"/>
      <c r="X28" s="505"/>
      <c r="Y28" s="505"/>
      <c r="Z28" s="505"/>
      <c r="AA28" s="505"/>
      <c r="AB28" s="505"/>
      <c r="AC28" s="505"/>
      <c r="AD28" s="505"/>
      <c r="AE28" s="505"/>
      <c r="AF28" s="505"/>
    </row>
    <row r="29" spans="1:32" ht="9.9499999999999993" customHeight="1">
      <c r="A29" s="505"/>
      <c r="B29" s="494"/>
      <c r="C29" s="487"/>
      <c r="D29" s="487"/>
      <c r="E29" s="487"/>
      <c r="F29" s="489"/>
      <c r="G29" s="487"/>
      <c r="H29" s="487"/>
      <c r="I29" s="487"/>
      <c r="J29" s="487"/>
      <c r="K29" s="489"/>
      <c r="L29" s="505"/>
      <c r="M29" s="505"/>
      <c r="N29" s="505"/>
      <c r="O29" s="505"/>
      <c r="P29" s="505"/>
      <c r="Q29" s="505"/>
      <c r="R29" s="505"/>
      <c r="S29" s="505"/>
      <c r="T29" s="505"/>
      <c r="U29" s="505"/>
      <c r="V29" s="505"/>
      <c r="W29" s="505"/>
      <c r="X29" s="505"/>
      <c r="Y29" s="505"/>
      <c r="Z29" s="505"/>
      <c r="AA29" s="505"/>
      <c r="AB29" s="505"/>
      <c r="AC29" s="505"/>
      <c r="AD29" s="505"/>
      <c r="AE29" s="505"/>
      <c r="AF29" s="505"/>
    </row>
    <row r="30" spans="1:32" ht="9.9499999999999993" customHeight="1">
      <c r="A30" s="505"/>
      <c r="B30" s="494"/>
      <c r="C30" s="487"/>
      <c r="D30" s="487"/>
      <c r="E30" s="487"/>
      <c r="F30" s="489"/>
      <c r="G30" s="487"/>
      <c r="H30" s="487"/>
      <c r="I30" s="487"/>
      <c r="J30" s="487"/>
      <c r="K30" s="489"/>
      <c r="L30" s="505"/>
      <c r="M30" s="505"/>
      <c r="N30" s="505"/>
      <c r="O30" s="505"/>
      <c r="P30" s="505"/>
      <c r="Q30" s="505"/>
      <c r="R30" s="505"/>
      <c r="S30" s="505"/>
      <c r="T30" s="505"/>
      <c r="U30" s="505"/>
      <c r="V30" s="505"/>
      <c r="W30" s="505"/>
      <c r="X30" s="505"/>
      <c r="Y30" s="505"/>
      <c r="Z30" s="505"/>
      <c r="AA30" s="505"/>
      <c r="AB30" s="505"/>
      <c r="AC30" s="505"/>
      <c r="AD30" s="505"/>
      <c r="AE30" s="505"/>
      <c r="AF30" s="505"/>
    </row>
    <row r="31" spans="1:32" ht="9.9499999999999993" customHeight="1">
      <c r="A31" s="505"/>
      <c r="B31" s="494"/>
      <c r="C31" s="487"/>
      <c r="D31" s="487"/>
      <c r="E31" s="487"/>
      <c r="F31" s="489"/>
      <c r="G31" s="487"/>
      <c r="H31" s="487"/>
      <c r="I31" s="487"/>
      <c r="J31" s="487"/>
      <c r="K31" s="489"/>
      <c r="L31" s="505"/>
      <c r="M31" s="505"/>
      <c r="N31" s="505"/>
      <c r="O31" s="505"/>
      <c r="P31" s="505"/>
      <c r="Q31" s="505"/>
      <c r="R31" s="505"/>
      <c r="S31" s="505"/>
      <c r="T31" s="505"/>
      <c r="U31" s="505"/>
      <c r="V31" s="505"/>
      <c r="W31" s="505"/>
      <c r="X31" s="505"/>
      <c r="Y31" s="505"/>
      <c r="Z31" s="505"/>
      <c r="AA31" s="505"/>
      <c r="AB31" s="505"/>
      <c r="AC31" s="505"/>
      <c r="AD31" s="505"/>
      <c r="AE31" s="505"/>
      <c r="AF31" s="505"/>
    </row>
    <row r="32" spans="1:32" ht="9.9499999999999993" customHeight="1">
      <c r="A32" s="505"/>
      <c r="B32" s="494"/>
      <c r="C32" s="487"/>
      <c r="D32" s="487"/>
      <c r="E32" s="487"/>
      <c r="F32" s="489"/>
      <c r="G32" s="487"/>
      <c r="H32" s="487"/>
      <c r="I32" s="487"/>
      <c r="J32" s="487"/>
      <c r="K32" s="489"/>
      <c r="L32" s="505"/>
      <c r="M32" s="505"/>
      <c r="N32" s="505"/>
      <c r="O32" s="505"/>
      <c r="P32" s="505"/>
      <c r="Q32" s="505"/>
      <c r="R32" s="505"/>
      <c r="S32" s="505"/>
      <c r="T32" s="505"/>
      <c r="U32" s="505"/>
      <c r="V32" s="505"/>
      <c r="W32" s="505"/>
      <c r="X32" s="505"/>
      <c r="Y32" s="505"/>
      <c r="Z32" s="505"/>
      <c r="AA32" s="505"/>
      <c r="AB32" s="505"/>
      <c r="AC32" s="505"/>
      <c r="AD32" s="505"/>
      <c r="AE32" s="505"/>
      <c r="AF32" s="505"/>
    </row>
    <row r="33" spans="1:32" ht="9.9499999999999993" customHeight="1">
      <c r="A33" s="505"/>
      <c r="B33" s="494"/>
      <c r="C33" s="487"/>
      <c r="D33" s="487"/>
      <c r="E33" s="487"/>
      <c r="F33" s="489"/>
      <c r="G33" s="487"/>
      <c r="H33" s="487"/>
      <c r="I33" s="487"/>
      <c r="J33" s="487"/>
      <c r="K33" s="489"/>
      <c r="L33" s="505"/>
      <c r="M33" s="505"/>
      <c r="N33" s="505"/>
      <c r="O33" s="505"/>
      <c r="P33" s="505"/>
      <c r="Q33" s="505"/>
      <c r="R33" s="505"/>
      <c r="S33" s="505"/>
      <c r="T33" s="505"/>
      <c r="U33" s="505"/>
      <c r="V33" s="505"/>
      <c r="W33" s="505"/>
      <c r="X33" s="505"/>
      <c r="Y33" s="505"/>
      <c r="Z33" s="505"/>
      <c r="AA33" s="505"/>
      <c r="AB33" s="505"/>
      <c r="AC33" s="505"/>
      <c r="AD33" s="505"/>
      <c r="AE33" s="505"/>
      <c r="AF33" s="505"/>
    </row>
    <row r="34" spans="1:32" ht="9.9499999999999993" customHeight="1">
      <c r="A34" s="505"/>
      <c r="B34" s="494"/>
      <c r="C34" s="487"/>
      <c r="D34" s="487"/>
      <c r="E34" s="487"/>
      <c r="F34" s="489"/>
      <c r="G34" s="487"/>
      <c r="H34" s="487"/>
      <c r="I34" s="487"/>
      <c r="J34" s="487"/>
      <c r="K34" s="489"/>
      <c r="L34" s="505"/>
      <c r="M34" s="505"/>
      <c r="N34" s="505"/>
      <c r="O34" s="505"/>
      <c r="P34" s="505"/>
      <c r="Q34" s="505"/>
      <c r="R34" s="505"/>
      <c r="S34" s="505"/>
      <c r="T34" s="505"/>
      <c r="U34" s="505"/>
      <c r="V34" s="505"/>
      <c r="W34" s="505"/>
      <c r="X34" s="505"/>
      <c r="Y34" s="505"/>
      <c r="Z34" s="505"/>
      <c r="AA34" s="505"/>
      <c r="AB34" s="505"/>
      <c r="AC34" s="505"/>
      <c r="AD34" s="505"/>
      <c r="AE34" s="505"/>
      <c r="AF34" s="505"/>
    </row>
    <row r="35" spans="1:32" ht="9.9499999999999993" customHeight="1">
      <c r="A35" s="505"/>
      <c r="B35" s="494"/>
      <c r="C35" s="487"/>
      <c r="D35" s="487"/>
      <c r="E35" s="487"/>
      <c r="F35" s="489"/>
      <c r="G35" s="487"/>
      <c r="H35" s="487"/>
      <c r="I35" s="487"/>
      <c r="J35" s="487"/>
      <c r="K35" s="489"/>
      <c r="L35" s="505"/>
      <c r="M35" s="505"/>
      <c r="N35" s="505"/>
      <c r="O35" s="505"/>
      <c r="P35" s="505"/>
      <c r="Q35" s="505"/>
      <c r="R35" s="505"/>
      <c r="S35" s="505"/>
      <c r="T35" s="505"/>
      <c r="U35" s="505"/>
      <c r="V35" s="505"/>
      <c r="W35" s="505"/>
      <c r="X35" s="505"/>
      <c r="Y35" s="505"/>
      <c r="Z35" s="505"/>
      <c r="AA35" s="505"/>
      <c r="AB35" s="505"/>
      <c r="AC35" s="505"/>
      <c r="AD35" s="505"/>
      <c r="AE35" s="505"/>
      <c r="AF35" s="505"/>
    </row>
    <row r="36" spans="1:32" ht="9.9499999999999993" customHeight="1">
      <c r="A36" s="505"/>
      <c r="B36" s="494"/>
      <c r="C36" s="487"/>
      <c r="D36" s="487"/>
      <c r="E36" s="487"/>
      <c r="F36" s="489"/>
      <c r="G36" s="487"/>
      <c r="H36" s="487"/>
      <c r="I36" s="487"/>
      <c r="J36" s="487"/>
      <c r="K36" s="489"/>
      <c r="L36" s="505"/>
      <c r="M36" s="505"/>
      <c r="N36" s="505"/>
      <c r="O36" s="505"/>
      <c r="P36" s="505"/>
      <c r="Q36" s="505"/>
      <c r="R36" s="505"/>
      <c r="S36" s="505"/>
      <c r="T36" s="505"/>
      <c r="U36" s="505"/>
      <c r="V36" s="505"/>
      <c r="W36" s="505"/>
      <c r="X36" s="505"/>
      <c r="Y36" s="505"/>
      <c r="Z36" s="505"/>
      <c r="AA36" s="505"/>
      <c r="AB36" s="505"/>
      <c r="AC36" s="505"/>
      <c r="AD36" s="505"/>
      <c r="AE36" s="505"/>
      <c r="AF36" s="505"/>
    </row>
    <row r="37" spans="1:32" ht="9.9499999999999993" customHeight="1">
      <c r="A37" s="505"/>
      <c r="B37" s="494"/>
      <c r="C37" s="487"/>
      <c r="D37" s="487"/>
      <c r="E37" s="487"/>
      <c r="F37" s="489"/>
      <c r="G37" s="487"/>
      <c r="H37" s="487"/>
      <c r="I37" s="487"/>
      <c r="J37" s="487"/>
      <c r="K37" s="489"/>
      <c r="L37" s="505"/>
      <c r="M37" s="505"/>
      <c r="N37" s="505"/>
      <c r="O37" s="505"/>
      <c r="P37" s="505"/>
      <c r="Q37" s="505"/>
      <c r="R37" s="505"/>
      <c r="S37" s="505"/>
      <c r="T37" s="505"/>
      <c r="U37" s="505"/>
      <c r="V37" s="505"/>
      <c r="W37" s="505"/>
      <c r="X37" s="505"/>
      <c r="Y37" s="505"/>
      <c r="Z37" s="505"/>
      <c r="AA37" s="505"/>
      <c r="AB37" s="505"/>
      <c r="AC37" s="505"/>
      <c r="AD37" s="505"/>
      <c r="AE37" s="505"/>
      <c r="AF37" s="505"/>
    </row>
    <row r="38" spans="1:32" ht="9.9499999999999993" customHeight="1">
      <c r="A38" s="505"/>
      <c r="B38" s="494"/>
      <c r="C38" s="487"/>
      <c r="D38" s="487"/>
      <c r="E38" s="487"/>
      <c r="F38" s="489"/>
      <c r="G38" s="487"/>
      <c r="H38" s="487"/>
      <c r="I38" s="487"/>
      <c r="J38" s="487"/>
      <c r="K38" s="489"/>
      <c r="L38" s="505"/>
      <c r="M38" s="505"/>
      <c r="N38" s="505"/>
      <c r="O38" s="505"/>
      <c r="P38" s="505"/>
      <c r="Q38" s="505"/>
      <c r="R38" s="505"/>
      <c r="S38" s="505"/>
      <c r="T38" s="505"/>
      <c r="U38" s="505"/>
      <c r="V38" s="505"/>
      <c r="W38" s="505"/>
      <c r="X38" s="505"/>
      <c r="Y38" s="505"/>
      <c r="Z38" s="505"/>
      <c r="AA38" s="505"/>
      <c r="AB38" s="505"/>
      <c r="AC38" s="505"/>
      <c r="AD38" s="505"/>
      <c r="AE38" s="505"/>
      <c r="AF38" s="505"/>
    </row>
    <row r="39" spans="1:32" ht="9.9499999999999993" customHeight="1">
      <c r="A39" s="505"/>
      <c r="B39" s="494"/>
      <c r="C39" s="487"/>
      <c r="D39" s="487"/>
      <c r="E39" s="487"/>
      <c r="F39" s="489"/>
      <c r="G39" s="487"/>
      <c r="H39" s="487"/>
      <c r="I39" s="487"/>
      <c r="J39" s="487"/>
      <c r="K39" s="489"/>
      <c r="L39" s="505"/>
      <c r="M39" s="505"/>
      <c r="N39" s="505"/>
      <c r="O39" s="505"/>
      <c r="P39" s="505"/>
      <c r="Q39" s="505"/>
      <c r="R39" s="505"/>
      <c r="S39" s="505"/>
      <c r="T39" s="505"/>
      <c r="U39" s="505"/>
      <c r="V39" s="505"/>
      <c r="W39" s="505"/>
      <c r="X39" s="505"/>
      <c r="Y39" s="505"/>
      <c r="Z39" s="505"/>
      <c r="AA39" s="505"/>
      <c r="AB39" s="505"/>
      <c r="AC39" s="505"/>
      <c r="AD39" s="505"/>
      <c r="AE39" s="505"/>
      <c r="AF39" s="505"/>
    </row>
    <row r="40" spans="1:32" ht="9.9499999999999993" customHeight="1">
      <c r="A40" s="505"/>
      <c r="B40" s="494"/>
      <c r="C40" s="487"/>
      <c r="D40" s="487"/>
      <c r="E40" s="487"/>
      <c r="F40" s="489"/>
      <c r="G40" s="487"/>
      <c r="H40" s="487"/>
      <c r="I40" s="487"/>
      <c r="J40" s="487"/>
      <c r="K40" s="489"/>
      <c r="L40" s="505"/>
      <c r="M40" s="505"/>
      <c r="N40" s="505"/>
      <c r="O40" s="505"/>
      <c r="P40" s="505"/>
      <c r="Q40" s="505"/>
      <c r="R40" s="505"/>
      <c r="S40" s="505"/>
      <c r="T40" s="505"/>
      <c r="U40" s="505"/>
      <c r="V40" s="505"/>
      <c r="W40" s="505"/>
      <c r="X40" s="505"/>
      <c r="Y40" s="505"/>
      <c r="Z40" s="505"/>
      <c r="AA40" s="505"/>
      <c r="AB40" s="505"/>
      <c r="AC40" s="505"/>
      <c r="AD40" s="505"/>
      <c r="AE40" s="505"/>
      <c r="AF40" s="505"/>
    </row>
    <row r="41" spans="1:32" ht="9.9499999999999993" customHeight="1">
      <c r="A41" s="505"/>
      <c r="B41" s="494"/>
      <c r="C41" s="487"/>
      <c r="D41" s="487"/>
      <c r="E41" s="487"/>
      <c r="F41" s="489"/>
      <c r="G41" s="487"/>
      <c r="H41" s="487"/>
      <c r="I41" s="487"/>
      <c r="J41" s="487"/>
      <c r="K41" s="489"/>
      <c r="L41" s="505"/>
      <c r="M41" s="505"/>
      <c r="N41" s="505"/>
      <c r="O41" s="505"/>
      <c r="P41" s="505"/>
      <c r="Q41" s="505"/>
      <c r="R41" s="505"/>
      <c r="S41" s="505"/>
      <c r="T41" s="505"/>
      <c r="U41" s="505"/>
      <c r="V41" s="505"/>
      <c r="W41" s="505"/>
      <c r="X41" s="505"/>
      <c r="Y41" s="505"/>
      <c r="Z41" s="505"/>
      <c r="AA41" s="505"/>
      <c r="AB41" s="505"/>
      <c r="AC41" s="505"/>
      <c r="AD41" s="505"/>
      <c r="AE41" s="505"/>
      <c r="AF41" s="505"/>
    </row>
    <row r="42" spans="1:32" ht="9.9499999999999993" customHeight="1">
      <c r="A42" s="505"/>
      <c r="B42" s="494"/>
      <c r="C42" s="487"/>
      <c r="D42" s="487"/>
      <c r="E42" s="487"/>
      <c r="F42" s="489"/>
      <c r="G42" s="487"/>
      <c r="H42" s="487"/>
      <c r="I42" s="487"/>
      <c r="J42" s="487"/>
      <c r="K42" s="489"/>
      <c r="L42" s="505"/>
      <c r="M42" s="505"/>
      <c r="N42" s="505"/>
      <c r="O42" s="505"/>
      <c r="P42" s="505"/>
      <c r="Q42" s="505"/>
      <c r="R42" s="505"/>
      <c r="S42" s="505"/>
      <c r="T42" s="505"/>
      <c r="U42" s="505"/>
      <c r="V42" s="505"/>
      <c r="W42" s="505"/>
      <c r="X42" s="505"/>
      <c r="Y42" s="505"/>
      <c r="Z42" s="505"/>
      <c r="AA42" s="505"/>
      <c r="AB42" s="505"/>
      <c r="AC42" s="505"/>
      <c r="AD42" s="505"/>
      <c r="AE42" s="505"/>
      <c r="AF42" s="505"/>
    </row>
    <row r="43" spans="1:32" ht="9.9499999999999993" customHeight="1" thickBot="1">
      <c r="A43" s="505"/>
      <c r="B43" s="495"/>
      <c r="C43" s="492"/>
      <c r="D43" s="492"/>
      <c r="E43" s="492"/>
      <c r="F43" s="496"/>
      <c r="G43" s="492"/>
      <c r="H43" s="487"/>
      <c r="I43" s="492"/>
      <c r="J43" s="492"/>
      <c r="K43" s="496"/>
      <c r="L43" s="505"/>
      <c r="M43" s="505"/>
      <c r="N43" s="505"/>
      <c r="O43" s="505"/>
      <c r="P43" s="505"/>
      <c r="Q43" s="505"/>
      <c r="R43" s="505"/>
      <c r="S43" s="505"/>
      <c r="T43" s="505"/>
      <c r="U43" s="505"/>
      <c r="V43" s="505"/>
      <c r="W43" s="505"/>
      <c r="X43" s="505"/>
      <c r="Y43" s="505"/>
      <c r="Z43" s="505"/>
      <c r="AA43" s="505"/>
      <c r="AB43" s="505"/>
      <c r="AC43" s="505"/>
      <c r="AD43" s="505"/>
      <c r="AE43" s="505"/>
      <c r="AF43" s="505"/>
    </row>
    <row r="44" spans="1:32" ht="9.9499999999999993" customHeight="1">
      <c r="A44" s="505"/>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row>
    <row r="45" spans="1:32" ht="9.9499999999999993" customHeight="1">
      <c r="A45" s="505"/>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row>
    <row r="46" spans="1:32" ht="9.9499999999999993" customHeight="1">
      <c r="A46" s="505"/>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row>
    <row r="47" spans="1:32" ht="9.9499999999999993" customHeight="1">
      <c r="A47" s="505"/>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row>
    <row r="48" spans="1:32" ht="9.9499999999999993" customHeight="1">
      <c r="A48" s="505"/>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row>
    <row r="49" spans="1:32" ht="9.9499999999999993" customHeight="1">
      <c r="A49" s="505"/>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row>
    <row r="50" spans="1:32" ht="9.9499999999999993" customHeight="1">
      <c r="A50" s="505"/>
      <c r="B50" s="505"/>
      <c r="C50" s="505"/>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505"/>
      <c r="AE50" s="505"/>
      <c r="AF50" s="505"/>
    </row>
    <row r="51" spans="1:32" ht="9.9499999999999993" customHeight="1">
      <c r="A51" s="505"/>
      <c r="B51" s="505"/>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row>
    <row r="52" spans="1:32" ht="9.9499999999999993" customHeight="1">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row>
    <row r="53" spans="1:32" ht="9.9499999999999993" customHeight="1">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row>
    <row r="54" spans="1:32" ht="9.9499999999999993" customHeight="1">
      <c r="A54" s="505"/>
      <c r="B54" s="505"/>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row>
    <row r="55" spans="1:32" ht="9.9499999999999993"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row>
    <row r="56" spans="1:32" ht="9.9499999999999993" customHeight="1">
      <c r="A56" s="505"/>
      <c r="B56" s="505"/>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row>
    <row r="57" spans="1:32" ht="9.9499999999999993" customHeight="1">
      <c r="A57" s="505"/>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row>
    <row r="58" spans="1:32" ht="9.9499999999999993" customHeight="1">
      <c r="A58" s="505"/>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row>
    <row r="59" spans="1:32" ht="9.9499999999999993" customHeight="1">
      <c r="A59" s="505"/>
      <c r="B59" s="505"/>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row>
    <row r="60" spans="1:32" ht="9.9499999999999993" customHeight="1">
      <c r="A60" s="505"/>
      <c r="B60" s="505"/>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row>
    <row r="61" spans="1:32" ht="9.9499999999999993" customHeight="1">
      <c r="A61" s="505"/>
      <c r="B61" s="505"/>
      <c r="C61" s="505"/>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505"/>
      <c r="AE61" s="505"/>
      <c r="AF61" s="505"/>
    </row>
    <row r="62" spans="1:32" ht="9.9499999999999993" customHeight="1">
      <c r="A62" s="505"/>
      <c r="B62" s="505"/>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row>
    <row r="63" spans="1:32" ht="9.9499999999999993" customHeight="1">
      <c r="A63" s="505"/>
      <c r="B63" s="505"/>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c r="AE63" s="505"/>
      <c r="AF63" s="505"/>
    </row>
    <row r="64" spans="1:32" ht="9.9499999999999993" customHeight="1">
      <c r="A64" s="505"/>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row>
    <row r="65" spans="1:32" ht="9.9499999999999993" customHeight="1">
      <c r="A65" s="505"/>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row>
    <row r="66" spans="1:32" ht="9.9499999999999993" customHeight="1">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row>
    <row r="67" spans="1:32" ht="9.9499999999999993" customHeight="1">
      <c r="A67" s="505"/>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row>
    <row r="68" spans="1:32" ht="9.9499999999999993" customHeight="1">
      <c r="A68" s="505"/>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row>
    <row r="69" spans="1:32" ht="9.9499999999999993" customHeight="1">
      <c r="A69" s="505"/>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row>
    <row r="70" spans="1:32" ht="9.9499999999999993" customHeight="1">
      <c r="A70" s="505"/>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505"/>
      <c r="AE70" s="505"/>
      <c r="AF70" s="505"/>
    </row>
    <row r="71" spans="1:32" ht="9.9499999999999993" customHeight="1">
      <c r="A71" s="505"/>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row>
    <row r="72" spans="1:32" ht="9.9499999999999993" customHeight="1">
      <c r="A72" s="505"/>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row>
    <row r="73" spans="1:32" ht="9.9499999999999993" customHeight="1">
      <c r="A73" s="505"/>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row>
    <row r="74" spans="1:32" ht="9.9499999999999993" customHeight="1">
      <c r="A74" s="505"/>
      <c r="B74" s="505"/>
      <c r="C74" s="505"/>
      <c r="D74" s="505"/>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c r="AE74" s="505"/>
      <c r="AF74" s="505"/>
    </row>
    <row r="75" spans="1:32" ht="9.9499999999999993" customHeight="1">
      <c r="A75" s="505"/>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row>
    <row r="76" spans="1:32" ht="9.9499999999999993" customHeight="1">
      <c r="A76" s="505"/>
      <c r="B76" s="505"/>
      <c r="C76" s="505"/>
      <c r="D76" s="505"/>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505"/>
      <c r="AE76" s="505"/>
      <c r="AF76" s="505"/>
    </row>
    <row r="77" spans="1:32" ht="9.9499999999999993" customHeight="1">
      <c r="A77" s="505"/>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row>
    <row r="78" spans="1:32" ht="9.9499999999999993" customHeight="1">
      <c r="A78" s="505"/>
      <c r="B78" s="505"/>
      <c r="C78" s="505"/>
      <c r="D78" s="505"/>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505"/>
      <c r="AE78" s="505"/>
      <c r="AF78" s="505"/>
    </row>
    <row r="79" spans="1:32" ht="9.9499999999999993" customHeight="1">
      <c r="A79" s="505"/>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row>
    <row r="80" spans="1:32" ht="9.9499999999999993" customHeight="1">
      <c r="A80" s="505"/>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row>
    <row r="81" spans="1:32" ht="9.9499999999999993" customHeight="1">
      <c r="A81" s="505"/>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row>
    <row r="82" spans="1:32" ht="9.9499999999999993" customHeight="1">
      <c r="A82" s="505"/>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row>
    <row r="83" spans="1:32" ht="9.9499999999999993" customHeight="1">
      <c r="A83" s="505"/>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row>
    <row r="84" spans="1:32" ht="9.9499999999999993" customHeight="1">
      <c r="A84" s="505"/>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row>
    <row r="85" spans="1:32" ht="9.9499999999999993" customHeight="1">
      <c r="A85" s="505"/>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row>
    <row r="86" spans="1:32" ht="9.9499999999999993" customHeight="1">
      <c r="A86" s="505"/>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row>
    <row r="87" spans="1:32" ht="9.9499999999999993" customHeight="1">
      <c r="A87" s="505"/>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row>
    <row r="88" spans="1:32" ht="9.9499999999999993" customHeight="1">
      <c r="A88" s="505"/>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row>
    <row r="89" spans="1:32" ht="9.9499999999999993" customHeight="1">
      <c r="A89" s="505"/>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row>
    <row r="90" spans="1:32" ht="9.9499999999999993" customHeight="1">
      <c r="A90" s="505"/>
      <c r="B90" s="505"/>
      <c r="C90" s="505"/>
      <c r="D90" s="505"/>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505"/>
      <c r="AE90" s="505"/>
      <c r="AF90" s="505"/>
    </row>
    <row r="91" spans="1:32" ht="9.9499999999999993" customHeight="1">
      <c r="A91" s="505"/>
      <c r="B91" s="505"/>
      <c r="C91" s="505"/>
      <c r="D91" s="505"/>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505"/>
      <c r="AE91" s="505"/>
      <c r="AF91" s="505"/>
    </row>
    <row r="92" spans="1:32" ht="9.9499999999999993" customHeight="1">
      <c r="A92" s="505"/>
      <c r="B92" s="505"/>
      <c r="C92" s="505"/>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row>
    <row r="93" spans="1:32" ht="9.9499999999999993" customHeight="1">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row>
    <row r="94" spans="1:32" ht="9.9499999999999993" customHeight="1">
      <c r="A94" s="505"/>
      <c r="B94" s="505"/>
      <c r="C94" s="505"/>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row>
    <row r="95" spans="1:32" ht="9.9499999999999993" customHeight="1">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row>
    <row r="96" spans="1:32" ht="9.9499999999999993" customHeight="1">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row>
    <row r="97" spans="1:32" ht="9.9499999999999993" customHeight="1">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505"/>
      <c r="AD97" s="505"/>
      <c r="AE97" s="505"/>
      <c r="AF97" s="505"/>
    </row>
    <row r="98" spans="1:32" ht="9.9499999999999993" customHeight="1">
      <c r="A98" s="505"/>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505"/>
      <c r="AE98" s="505"/>
      <c r="AF98" s="505"/>
    </row>
    <row r="99" spans="1:32" ht="9.9499999999999993" customHeight="1">
      <c r="A99" s="505"/>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row>
    <row r="100" spans="1:32" ht="9.9499999999999993" customHeight="1">
      <c r="A100" s="505"/>
      <c r="B100" s="505"/>
      <c r="C100" s="505"/>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505"/>
      <c r="AE100" s="505"/>
      <c r="AF100" s="505"/>
    </row>
    <row r="101" spans="1:32" ht="9.9499999999999993" customHeight="1">
      <c r="A101" s="505"/>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5"/>
      <c r="AE101" s="505"/>
      <c r="AF101" s="505"/>
    </row>
    <row r="102" spans="1:32" ht="9.9499999999999993" customHeight="1">
      <c r="A102" s="505"/>
      <c r="B102" s="505"/>
      <c r="C102" s="50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505"/>
      <c r="AE102" s="505"/>
      <c r="AF102" s="505"/>
    </row>
    <row r="103" spans="1:32" ht="9.9499999999999993" customHeight="1">
      <c r="A103" s="505"/>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row>
    <row r="104" spans="1:32" ht="9.9499999999999993" customHeight="1">
      <c r="A104" s="505"/>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row>
    <row r="105" spans="1:32" ht="9.9499999999999993" customHeight="1">
      <c r="A105" s="505"/>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row>
    <row r="106" spans="1:32" ht="9.9499999999999993" customHeight="1">
      <c r="A106" s="505"/>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row>
    <row r="107" spans="1:32" ht="9.9499999999999993"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505"/>
    </row>
    <row r="108" spans="1:32" ht="9.9499999999999993" customHeight="1">
      <c r="A108" s="505"/>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505"/>
      <c r="AE108" s="505"/>
      <c r="AF108" s="505"/>
    </row>
    <row r="109" spans="1:32" ht="9.9499999999999993" customHeight="1">
      <c r="A109" s="505"/>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row>
    <row r="110" spans="1:32" ht="9.9499999999999993" customHeight="1">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row>
    <row r="111" spans="1:32" ht="9.9499999999999993" customHeight="1">
      <c r="A111" s="505"/>
      <c r="B111" s="505"/>
      <c r="C111" s="505"/>
      <c r="D111" s="505"/>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505"/>
      <c r="AD111" s="505"/>
      <c r="AE111" s="505"/>
      <c r="AF111" s="505"/>
    </row>
    <row r="112" spans="1:32" ht="9.9499999999999993" customHeight="1">
      <c r="A112" s="505"/>
      <c r="B112" s="505"/>
      <c r="C112" s="505"/>
      <c r="D112" s="505"/>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505"/>
      <c r="AD112" s="505"/>
      <c r="AE112" s="505"/>
      <c r="AF112" s="505"/>
    </row>
    <row r="113" spans="1:32" ht="9.9499999999999993" customHeight="1">
      <c r="A113" s="50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505"/>
      <c r="AE113" s="505"/>
      <c r="AF113" s="505"/>
    </row>
    <row r="114" spans="1:32" ht="9.9499999999999993" customHeight="1">
      <c r="A114" s="505"/>
      <c r="B114" s="505"/>
      <c r="C114" s="505"/>
      <c r="D114" s="505"/>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505"/>
      <c r="AD114" s="505"/>
      <c r="AE114" s="505"/>
      <c r="AF114" s="505"/>
    </row>
    <row r="115" spans="1:32" ht="9.9499999999999993" customHeight="1">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505"/>
      <c r="AE115" s="505"/>
      <c r="AF115" s="505"/>
    </row>
    <row r="116" spans="1:32" ht="9.9499999999999993" customHeight="1">
      <c r="A116" s="505"/>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5"/>
      <c r="AE116" s="505"/>
      <c r="AF116" s="505"/>
    </row>
    <row r="117" spans="1:32" ht="9.9499999999999993" customHeight="1">
      <c r="A117" s="505"/>
      <c r="B117" s="505"/>
      <c r="C117" s="505"/>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505"/>
      <c r="AE117" s="505"/>
      <c r="AF117" s="505"/>
    </row>
    <row r="118" spans="1:32" ht="9.9499999999999993" customHeight="1">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row>
    <row r="119" spans="1:32" ht="9.9499999999999993" customHeight="1">
      <c r="A119" s="505"/>
      <c r="B119" s="505"/>
      <c r="C119" s="505"/>
      <c r="D119" s="505"/>
      <c r="E119" s="505"/>
      <c r="F119" s="505"/>
      <c r="G119" s="505"/>
      <c r="H119" s="505"/>
      <c r="I119" s="505"/>
      <c r="J119" s="505"/>
      <c r="K119" s="505"/>
      <c r="L119" s="505"/>
      <c r="M119" s="505"/>
      <c r="N119" s="505"/>
      <c r="O119" s="505"/>
      <c r="P119" s="505"/>
      <c r="Q119" s="505"/>
      <c r="R119" s="505"/>
      <c r="S119" s="505"/>
      <c r="T119" s="505"/>
      <c r="U119" s="505"/>
      <c r="V119" s="505"/>
      <c r="W119" s="505"/>
      <c r="X119" s="505"/>
      <c r="Y119" s="505"/>
      <c r="Z119" s="505"/>
      <c r="AA119" s="505"/>
      <c r="AB119" s="505"/>
      <c r="AC119" s="505"/>
      <c r="AD119" s="505"/>
      <c r="AE119" s="505"/>
      <c r="AF119" s="505"/>
    </row>
    <row r="120" spans="1:32" ht="9.9499999999999993" customHeight="1">
      <c r="A120" s="505"/>
      <c r="B120" s="505"/>
      <c r="C120" s="505"/>
      <c r="D120" s="505"/>
      <c r="E120" s="505"/>
      <c r="F120" s="505"/>
      <c r="G120" s="505"/>
      <c r="H120" s="505"/>
      <c r="I120" s="505"/>
      <c r="J120" s="505"/>
      <c r="K120" s="505"/>
      <c r="L120" s="505"/>
      <c r="M120" s="505"/>
      <c r="N120" s="505"/>
      <c r="O120" s="505"/>
      <c r="P120" s="505"/>
      <c r="Q120" s="505"/>
      <c r="R120" s="505"/>
      <c r="S120" s="505"/>
      <c r="T120" s="505"/>
      <c r="U120" s="505"/>
      <c r="V120" s="505"/>
      <c r="W120" s="505"/>
      <c r="X120" s="505"/>
      <c r="Y120" s="505"/>
      <c r="Z120" s="505"/>
      <c r="AA120" s="505"/>
      <c r="AB120" s="505"/>
      <c r="AC120" s="505"/>
      <c r="AD120" s="505"/>
      <c r="AE120" s="505"/>
      <c r="AF120" s="505"/>
    </row>
    <row r="121" spans="1:32" ht="9.9499999999999993" customHeight="1">
      <c r="A121" s="505"/>
      <c r="B121" s="505"/>
      <c r="C121" s="505"/>
      <c r="D121" s="505"/>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505"/>
      <c r="AE121" s="505"/>
      <c r="AF121" s="505"/>
    </row>
    <row r="122" spans="1:32" ht="9.9499999999999993" customHeight="1">
      <c r="A122" s="505"/>
      <c r="B122" s="505"/>
      <c r="C122" s="505"/>
      <c r="D122" s="505"/>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505"/>
      <c r="AE122" s="505"/>
      <c r="AF122" s="505"/>
    </row>
    <row r="123" spans="1:32" ht="9.9499999999999993" customHeight="1">
      <c r="A123" s="505"/>
      <c r="B123" s="505"/>
      <c r="C123" s="505"/>
      <c r="D123" s="505"/>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row>
    <row r="124" spans="1:32" ht="9.9499999999999993" customHeight="1">
      <c r="A124" s="505"/>
      <c r="B124" s="505"/>
      <c r="C124" s="505"/>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row>
    <row r="125" spans="1:32" ht="9.9499999999999993" customHeight="1">
      <c r="A125" s="505"/>
      <c r="B125" s="505"/>
      <c r="C125" s="505"/>
      <c r="D125" s="505"/>
      <c r="E125" s="505"/>
      <c r="F125" s="505"/>
      <c r="G125" s="505"/>
      <c r="H125" s="505"/>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row>
    <row r="126" spans="1:32" ht="9.9499999999999993" customHeight="1">
      <c r="A126" s="505"/>
      <c r="B126" s="505"/>
      <c r="C126" s="505"/>
      <c r="D126" s="505"/>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row>
    <row r="127" spans="1:32" ht="9.9499999999999993" customHeight="1">
      <c r="A127" s="505"/>
      <c r="B127" s="505"/>
      <c r="C127" s="505"/>
      <c r="D127" s="505"/>
      <c r="E127" s="505"/>
      <c r="F127" s="505"/>
      <c r="G127" s="505"/>
      <c r="H127" s="505"/>
      <c r="I127" s="505"/>
      <c r="J127" s="505"/>
      <c r="K127" s="505"/>
      <c r="L127" s="505"/>
      <c r="M127" s="505"/>
      <c r="N127" s="505"/>
      <c r="O127" s="505"/>
      <c r="P127" s="505"/>
      <c r="Q127" s="505"/>
      <c r="R127" s="505"/>
      <c r="S127" s="505"/>
      <c r="T127" s="505"/>
      <c r="U127" s="505"/>
      <c r="V127" s="505"/>
      <c r="W127" s="505"/>
      <c r="X127" s="505"/>
      <c r="Y127" s="505"/>
      <c r="Z127" s="505"/>
      <c r="AA127" s="505"/>
      <c r="AB127" s="505"/>
      <c r="AC127" s="505"/>
      <c r="AD127" s="505"/>
      <c r="AE127" s="505"/>
      <c r="AF127" s="505"/>
    </row>
    <row r="128" spans="1:32" ht="9.9499999999999993" customHeight="1">
      <c r="A128" s="505"/>
      <c r="B128" s="505"/>
      <c r="C128" s="505"/>
      <c r="D128" s="505"/>
      <c r="E128" s="505"/>
      <c r="F128" s="505"/>
      <c r="G128" s="505"/>
      <c r="H128" s="505"/>
      <c r="I128" s="505"/>
      <c r="J128" s="505"/>
      <c r="K128" s="505"/>
      <c r="L128" s="505"/>
      <c r="M128" s="505"/>
      <c r="N128" s="505"/>
      <c r="O128" s="505"/>
      <c r="P128" s="505"/>
      <c r="Q128" s="505"/>
      <c r="R128" s="505"/>
      <c r="S128" s="505"/>
      <c r="T128" s="505"/>
      <c r="U128" s="505"/>
      <c r="V128" s="505"/>
      <c r="W128" s="505"/>
      <c r="X128" s="505"/>
      <c r="Y128" s="505"/>
      <c r="Z128" s="505"/>
      <c r="AA128" s="505"/>
      <c r="AB128" s="505"/>
      <c r="AC128" s="505"/>
      <c r="AD128" s="505"/>
      <c r="AE128" s="505"/>
      <c r="AF128" s="505"/>
    </row>
    <row r="129" spans="1:32" ht="9.9499999999999993" customHeight="1">
      <c r="A129" s="505"/>
      <c r="B129" s="505"/>
      <c r="C129" s="505"/>
      <c r="D129" s="505"/>
      <c r="E129" s="505"/>
      <c r="F129" s="505"/>
      <c r="G129" s="505"/>
      <c r="H129" s="505"/>
      <c r="I129" s="505"/>
      <c r="J129" s="505"/>
      <c r="K129" s="505"/>
      <c r="L129" s="505"/>
      <c r="M129" s="505"/>
      <c r="N129" s="505"/>
      <c r="O129" s="505"/>
      <c r="P129" s="505"/>
      <c r="Q129" s="505"/>
      <c r="R129" s="505"/>
      <c r="S129" s="505"/>
      <c r="T129" s="505"/>
      <c r="U129" s="505"/>
      <c r="V129" s="505"/>
      <c r="W129" s="505"/>
      <c r="X129" s="505"/>
      <c r="Y129" s="505"/>
      <c r="Z129" s="505"/>
      <c r="AA129" s="505"/>
      <c r="AB129" s="505"/>
      <c r="AC129" s="505"/>
      <c r="AD129" s="505"/>
      <c r="AE129" s="505"/>
      <c r="AF129" s="505"/>
    </row>
    <row r="130" spans="1:32" ht="9.9499999999999993" customHeight="1">
      <c r="A130" s="505"/>
      <c r="B130" s="505"/>
      <c r="C130" s="505"/>
      <c r="D130" s="505"/>
      <c r="E130" s="505"/>
      <c r="F130" s="505"/>
      <c r="G130" s="505"/>
      <c r="H130" s="505"/>
      <c r="I130" s="505"/>
      <c r="J130" s="505"/>
      <c r="K130" s="505"/>
      <c r="L130" s="505"/>
      <c r="M130" s="505"/>
      <c r="N130" s="505"/>
      <c r="O130" s="505"/>
      <c r="P130" s="505"/>
      <c r="Q130" s="505"/>
      <c r="R130" s="505"/>
      <c r="S130" s="505"/>
      <c r="T130" s="505"/>
      <c r="U130" s="505"/>
      <c r="V130" s="505"/>
      <c r="W130" s="505"/>
      <c r="X130" s="505"/>
      <c r="Y130" s="505"/>
      <c r="Z130" s="505"/>
      <c r="AA130" s="505"/>
      <c r="AB130" s="505"/>
      <c r="AC130" s="505"/>
      <c r="AD130" s="505"/>
      <c r="AE130" s="505"/>
      <c r="AF130" s="505"/>
    </row>
    <row r="131" spans="1:32" ht="9.9499999999999993" customHeight="1">
      <c r="A131" s="505"/>
      <c r="B131" s="505"/>
      <c r="C131" s="505"/>
      <c r="D131" s="505"/>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505"/>
      <c r="AE131" s="505"/>
      <c r="AF131" s="505"/>
    </row>
    <row r="132" spans="1:32" ht="9.9499999999999993" customHeight="1">
      <c r="A132" s="505"/>
      <c r="B132" s="505"/>
      <c r="C132" s="505"/>
      <c r="D132" s="505"/>
      <c r="E132" s="505"/>
      <c r="F132" s="505"/>
      <c r="G132" s="505"/>
      <c r="H132" s="505"/>
      <c r="I132" s="505"/>
      <c r="J132" s="505"/>
      <c r="K132" s="505"/>
      <c r="L132" s="505"/>
      <c r="M132" s="505"/>
      <c r="N132" s="505"/>
      <c r="O132" s="505"/>
      <c r="P132" s="505"/>
      <c r="Q132" s="505"/>
      <c r="R132" s="505"/>
      <c r="S132" s="505"/>
      <c r="T132" s="505"/>
      <c r="U132" s="505"/>
      <c r="V132" s="505"/>
      <c r="W132" s="505"/>
      <c r="X132" s="505"/>
      <c r="Y132" s="505"/>
      <c r="Z132" s="505"/>
      <c r="AA132" s="505"/>
      <c r="AB132" s="505"/>
      <c r="AC132" s="505"/>
      <c r="AD132" s="505"/>
      <c r="AE132" s="505"/>
      <c r="AF132" s="505"/>
    </row>
    <row r="133" spans="1:32" ht="9.9499999999999993" customHeight="1">
      <c r="A133" s="505"/>
      <c r="B133" s="505"/>
      <c r="C133" s="505"/>
      <c r="D133" s="505"/>
      <c r="E133" s="505"/>
      <c r="F133" s="505"/>
      <c r="G133" s="505"/>
      <c r="H133" s="505"/>
      <c r="I133" s="505"/>
      <c r="J133" s="505"/>
      <c r="K133" s="505"/>
      <c r="L133" s="505"/>
      <c r="M133" s="505"/>
      <c r="N133" s="505"/>
      <c r="O133" s="505"/>
      <c r="P133" s="505"/>
      <c r="Q133" s="505"/>
      <c r="R133" s="505"/>
      <c r="S133" s="505"/>
      <c r="T133" s="505"/>
      <c r="U133" s="505"/>
      <c r="V133" s="505"/>
      <c r="W133" s="505"/>
      <c r="X133" s="505"/>
      <c r="Y133" s="505"/>
      <c r="Z133" s="505"/>
      <c r="AA133" s="505"/>
      <c r="AB133" s="505"/>
      <c r="AC133" s="505"/>
      <c r="AD133" s="505"/>
      <c r="AE133" s="505"/>
      <c r="AF133" s="505"/>
    </row>
    <row r="134" spans="1:32" ht="9.9499999999999993" customHeight="1">
      <c r="A134" s="505"/>
      <c r="B134" s="505"/>
      <c r="C134" s="505"/>
      <c r="D134" s="505"/>
      <c r="E134" s="505"/>
      <c r="F134" s="505"/>
      <c r="G134" s="505"/>
      <c r="H134" s="505"/>
      <c r="I134" s="505"/>
      <c r="J134" s="505"/>
      <c r="K134" s="505"/>
      <c r="L134" s="505"/>
      <c r="M134" s="505"/>
      <c r="N134" s="505"/>
      <c r="O134" s="505"/>
      <c r="P134" s="505"/>
      <c r="Q134" s="505"/>
      <c r="R134" s="505"/>
      <c r="S134" s="505"/>
      <c r="T134" s="505"/>
      <c r="U134" s="505"/>
      <c r="V134" s="505"/>
      <c r="W134" s="505"/>
      <c r="X134" s="505"/>
      <c r="Y134" s="505"/>
      <c r="Z134" s="505"/>
      <c r="AA134" s="505"/>
      <c r="AB134" s="505"/>
      <c r="AC134" s="505"/>
      <c r="AD134" s="505"/>
      <c r="AE134" s="505"/>
      <c r="AF134" s="505"/>
    </row>
    <row r="135" spans="1:32" ht="9.9499999999999993" customHeight="1">
      <c r="A135" s="505"/>
      <c r="B135" s="505"/>
      <c r="C135" s="505"/>
      <c r="D135" s="505"/>
      <c r="E135" s="505"/>
      <c r="F135" s="505"/>
      <c r="G135" s="505"/>
      <c r="H135" s="505"/>
      <c r="I135" s="505"/>
      <c r="J135" s="505"/>
      <c r="K135" s="505"/>
      <c r="L135" s="505"/>
      <c r="M135" s="505"/>
      <c r="N135" s="505"/>
      <c r="O135" s="505"/>
      <c r="P135" s="505"/>
      <c r="Q135" s="505"/>
      <c r="R135" s="505"/>
      <c r="S135" s="505"/>
      <c r="T135" s="505"/>
      <c r="U135" s="505"/>
      <c r="V135" s="505"/>
      <c r="W135" s="505"/>
      <c r="X135" s="505"/>
      <c r="Y135" s="505"/>
      <c r="Z135" s="505"/>
      <c r="AA135" s="505"/>
      <c r="AB135" s="505"/>
      <c r="AC135" s="505"/>
      <c r="AD135" s="505"/>
      <c r="AE135" s="505"/>
      <c r="AF135" s="505"/>
    </row>
    <row r="136" spans="1:32" ht="9.9499999999999993" customHeight="1">
      <c r="A136" s="505"/>
      <c r="B136" s="505"/>
      <c r="C136" s="505"/>
      <c r="D136" s="505"/>
      <c r="E136" s="505"/>
      <c r="F136" s="505"/>
      <c r="G136" s="505"/>
      <c r="H136" s="505"/>
      <c r="I136" s="505"/>
      <c r="J136" s="505"/>
      <c r="K136" s="505"/>
      <c r="L136" s="505"/>
      <c r="M136" s="505"/>
      <c r="N136" s="505"/>
      <c r="O136" s="505"/>
      <c r="P136" s="505"/>
      <c r="Q136" s="505"/>
      <c r="R136" s="505"/>
      <c r="S136" s="505"/>
      <c r="T136" s="505"/>
      <c r="U136" s="505"/>
      <c r="V136" s="505"/>
      <c r="W136" s="505"/>
      <c r="X136" s="505"/>
      <c r="Y136" s="505"/>
      <c r="Z136" s="505"/>
      <c r="AA136" s="505"/>
      <c r="AB136" s="505"/>
      <c r="AC136" s="505"/>
      <c r="AD136" s="505"/>
      <c r="AE136" s="505"/>
      <c r="AF136" s="505"/>
    </row>
    <row r="137" spans="1:32" ht="9.9499999999999993" customHeight="1">
      <c r="A137" s="505"/>
      <c r="B137" s="505"/>
      <c r="C137" s="505"/>
      <c r="D137" s="505"/>
      <c r="E137" s="505"/>
      <c r="F137" s="505"/>
      <c r="G137" s="505"/>
      <c r="H137" s="505"/>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row>
    <row r="138" spans="1:32" ht="9.9499999999999993" customHeight="1">
      <c r="A138" s="505"/>
      <c r="B138" s="505"/>
      <c r="C138" s="505"/>
      <c r="D138" s="505"/>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505"/>
      <c r="AE138" s="505"/>
      <c r="AF138" s="505"/>
    </row>
    <row r="139" spans="1:32" ht="9.9499999999999993" customHeight="1">
      <c r="A139" s="505"/>
      <c r="B139" s="505"/>
      <c r="C139" s="505"/>
      <c r="D139" s="505"/>
      <c r="E139" s="505"/>
      <c r="F139" s="505"/>
      <c r="G139" s="505"/>
      <c r="H139" s="505"/>
      <c r="I139" s="505"/>
      <c r="J139" s="505"/>
      <c r="K139" s="505"/>
      <c r="L139" s="505"/>
      <c r="M139" s="505"/>
      <c r="N139" s="505"/>
      <c r="O139" s="505"/>
      <c r="P139" s="505"/>
      <c r="Q139" s="505"/>
      <c r="R139" s="505"/>
      <c r="S139" s="505"/>
      <c r="T139" s="505"/>
      <c r="U139" s="505"/>
      <c r="V139" s="505"/>
      <c r="W139" s="505"/>
      <c r="X139" s="505"/>
      <c r="Y139" s="505"/>
      <c r="Z139" s="505"/>
      <c r="AA139" s="505"/>
      <c r="AB139" s="505"/>
      <c r="AC139" s="505"/>
      <c r="AD139" s="505"/>
      <c r="AE139" s="505"/>
      <c r="AF139" s="505"/>
    </row>
    <row r="140" spans="1:32" ht="9.9499999999999993" customHeight="1">
      <c r="A140" s="505"/>
      <c r="B140" s="505"/>
      <c r="C140" s="505"/>
      <c r="D140" s="505"/>
      <c r="E140" s="505"/>
      <c r="F140" s="505"/>
      <c r="G140" s="505"/>
      <c r="H140" s="505"/>
      <c r="I140" s="505"/>
      <c r="J140" s="505"/>
      <c r="K140" s="505"/>
      <c r="L140" s="505"/>
      <c r="M140" s="505"/>
      <c r="N140" s="505"/>
      <c r="O140" s="505"/>
      <c r="P140" s="505"/>
      <c r="Q140" s="505"/>
      <c r="R140" s="505"/>
      <c r="S140" s="505"/>
      <c r="T140" s="505"/>
      <c r="U140" s="505"/>
      <c r="V140" s="505"/>
      <c r="W140" s="505"/>
      <c r="X140" s="505"/>
      <c r="Y140" s="505"/>
      <c r="Z140" s="505"/>
      <c r="AA140" s="505"/>
      <c r="AB140" s="505"/>
      <c r="AC140" s="505"/>
      <c r="AD140" s="505"/>
      <c r="AE140" s="505"/>
      <c r="AF140" s="505"/>
    </row>
    <row r="141" spans="1:32" ht="9.9499999999999993" customHeight="1">
      <c r="A141" s="505"/>
      <c r="B141" s="505"/>
      <c r="C141" s="505"/>
      <c r="D141" s="505"/>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505"/>
      <c r="AE141" s="505"/>
      <c r="AF141" s="505"/>
    </row>
    <row r="142" spans="1:32" ht="9.9499999999999993" customHeight="1">
      <c r="A142" s="505"/>
      <c r="B142" s="505"/>
      <c r="C142" s="505"/>
      <c r="D142" s="505"/>
      <c r="E142" s="505"/>
      <c r="F142" s="505"/>
      <c r="G142" s="505"/>
      <c r="H142" s="505"/>
      <c r="I142" s="505"/>
      <c r="J142" s="505"/>
      <c r="K142" s="505"/>
      <c r="L142" s="505"/>
      <c r="M142" s="505"/>
      <c r="N142" s="505"/>
      <c r="O142" s="505"/>
      <c r="P142" s="505"/>
      <c r="Q142" s="505"/>
      <c r="R142" s="505"/>
      <c r="S142" s="505"/>
      <c r="T142" s="505"/>
      <c r="U142" s="505"/>
      <c r="V142" s="505"/>
      <c r="W142" s="505"/>
      <c r="X142" s="505"/>
      <c r="Y142" s="505"/>
      <c r="Z142" s="505"/>
      <c r="AA142" s="505"/>
      <c r="AB142" s="505"/>
      <c r="AC142" s="505"/>
      <c r="AD142" s="505"/>
      <c r="AE142" s="505"/>
      <c r="AF142" s="505"/>
    </row>
    <row r="143" spans="1:32" ht="9.9499999999999993" customHeight="1">
      <c r="A143" s="505"/>
      <c r="B143" s="505"/>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row>
    <row r="144" spans="1:32" ht="9.9499999999999993" customHeight="1">
      <c r="A144" s="505"/>
      <c r="B144" s="505"/>
      <c r="C144" s="505"/>
      <c r="D144" s="505"/>
      <c r="E144" s="505"/>
      <c r="F144" s="505"/>
      <c r="G144" s="505"/>
      <c r="H144" s="505"/>
      <c r="I144" s="505"/>
      <c r="J144" s="505"/>
      <c r="K144" s="505"/>
      <c r="L144" s="505"/>
      <c r="M144" s="505"/>
      <c r="N144" s="505"/>
      <c r="O144" s="505"/>
      <c r="P144" s="505"/>
      <c r="Q144" s="505"/>
      <c r="R144" s="505"/>
      <c r="S144" s="505"/>
      <c r="T144" s="505"/>
      <c r="U144" s="505"/>
      <c r="V144" s="505"/>
      <c r="W144" s="505"/>
      <c r="X144" s="505"/>
      <c r="Y144" s="505"/>
      <c r="Z144" s="505"/>
      <c r="AA144" s="505"/>
      <c r="AB144" s="505"/>
      <c r="AC144" s="505"/>
      <c r="AD144" s="505"/>
      <c r="AE144" s="505"/>
      <c r="AF144" s="505"/>
    </row>
    <row r="145" spans="1:32" ht="9.9499999999999993" customHeight="1">
      <c r="A145" s="505"/>
      <c r="B145" s="505"/>
      <c r="C145" s="505"/>
      <c r="D145" s="505"/>
      <c r="E145" s="505"/>
      <c r="F145" s="505"/>
      <c r="G145" s="505"/>
      <c r="H145" s="505"/>
      <c r="I145" s="505"/>
      <c r="J145" s="505"/>
      <c r="K145" s="505"/>
      <c r="L145" s="505"/>
      <c r="M145" s="505"/>
      <c r="N145" s="505"/>
      <c r="O145" s="505"/>
      <c r="P145" s="505"/>
      <c r="Q145" s="505"/>
      <c r="R145" s="505"/>
      <c r="S145" s="505"/>
      <c r="T145" s="505"/>
      <c r="U145" s="505"/>
      <c r="V145" s="505"/>
      <c r="W145" s="505"/>
      <c r="X145" s="505"/>
      <c r="Y145" s="505"/>
      <c r="Z145" s="505"/>
      <c r="AA145" s="505"/>
      <c r="AB145" s="505"/>
      <c r="AC145" s="505"/>
      <c r="AD145" s="505"/>
      <c r="AE145" s="505"/>
      <c r="AF145" s="505"/>
    </row>
    <row r="146" spans="1:32" ht="9.9499999999999993" customHeight="1">
      <c r="A146" s="505"/>
      <c r="B146" s="505"/>
      <c r="C146" s="505"/>
      <c r="D146" s="505"/>
      <c r="E146" s="505"/>
      <c r="F146" s="505"/>
      <c r="G146" s="505"/>
      <c r="H146" s="505"/>
      <c r="I146" s="505"/>
      <c r="J146" s="505"/>
      <c r="K146" s="505"/>
      <c r="L146" s="505"/>
      <c r="M146" s="505"/>
      <c r="N146" s="505"/>
      <c r="O146" s="505"/>
      <c r="P146" s="505"/>
      <c r="Q146" s="505"/>
      <c r="R146" s="505"/>
      <c r="S146" s="505"/>
      <c r="T146" s="505"/>
      <c r="U146" s="505"/>
      <c r="V146" s="505"/>
      <c r="W146" s="505"/>
      <c r="X146" s="505"/>
      <c r="Y146" s="505"/>
      <c r="Z146" s="505"/>
      <c r="AA146" s="505"/>
      <c r="AB146" s="505"/>
      <c r="AC146" s="505"/>
      <c r="AD146" s="505"/>
      <c r="AE146" s="505"/>
      <c r="AF146" s="505"/>
    </row>
    <row r="147" spans="1:32" ht="9.9499999999999993" customHeight="1">
      <c r="A147" s="505"/>
      <c r="B147" s="505"/>
      <c r="C147" s="505"/>
      <c r="D147" s="505"/>
      <c r="E147" s="505"/>
      <c r="F147" s="505"/>
      <c r="G147" s="505"/>
      <c r="H147" s="505"/>
      <c r="I147" s="505"/>
      <c r="J147" s="505"/>
      <c r="K147" s="505"/>
      <c r="L147" s="505"/>
      <c r="M147" s="505"/>
      <c r="N147" s="505"/>
      <c r="O147" s="505"/>
      <c r="P147" s="505"/>
      <c r="Q147" s="505"/>
      <c r="R147" s="505"/>
      <c r="S147" s="505"/>
      <c r="T147" s="505"/>
      <c r="U147" s="505"/>
      <c r="V147" s="505"/>
      <c r="W147" s="505"/>
      <c r="X147" s="505"/>
      <c r="Y147" s="505"/>
      <c r="Z147" s="505"/>
      <c r="AA147" s="505"/>
      <c r="AB147" s="505"/>
      <c r="AC147" s="505"/>
      <c r="AD147" s="505"/>
      <c r="AE147" s="505"/>
      <c r="AF147" s="505"/>
    </row>
    <row r="148" spans="1:32" ht="9.9499999999999993" customHeight="1">
      <c r="A148" s="505"/>
      <c r="B148" s="505"/>
      <c r="C148" s="505"/>
      <c r="D148" s="505"/>
      <c r="E148" s="505"/>
      <c r="F148" s="505"/>
      <c r="G148" s="505"/>
      <c r="H148" s="505"/>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row>
    <row r="149" spans="1:32" ht="9.9499999999999993" customHeight="1">
      <c r="A149" s="505"/>
      <c r="B149" s="505"/>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505"/>
      <c r="AE149" s="505"/>
      <c r="AF149" s="505"/>
    </row>
    <row r="150" spans="1:32" ht="9.9499999999999993" customHeight="1">
      <c r="A150" s="505"/>
      <c r="B150" s="505"/>
      <c r="C150" s="505"/>
      <c r="D150" s="505"/>
      <c r="E150" s="505"/>
      <c r="F150" s="505"/>
      <c r="G150" s="505"/>
      <c r="H150" s="505"/>
      <c r="I150" s="505"/>
      <c r="J150" s="505"/>
      <c r="K150" s="505"/>
      <c r="L150" s="505"/>
      <c r="M150" s="505"/>
      <c r="N150" s="505"/>
      <c r="O150" s="505"/>
      <c r="P150" s="505"/>
      <c r="Q150" s="505"/>
      <c r="R150" s="505"/>
      <c r="S150" s="505"/>
      <c r="T150" s="505"/>
      <c r="U150" s="505"/>
      <c r="V150" s="505"/>
      <c r="W150" s="505"/>
      <c r="X150" s="505"/>
      <c r="Y150" s="505"/>
      <c r="Z150" s="505"/>
      <c r="AA150" s="505"/>
      <c r="AB150" s="505"/>
      <c r="AC150" s="505"/>
      <c r="AD150" s="505"/>
      <c r="AE150" s="505"/>
      <c r="AF150" s="505"/>
    </row>
    <row r="151" spans="1:32" ht="9.9499999999999993" customHeight="1">
      <c r="A151" s="505"/>
      <c r="B151" s="505"/>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505"/>
      <c r="AE151" s="505"/>
      <c r="AF151" s="505"/>
    </row>
    <row r="152" spans="1:32" ht="9.9499999999999993" customHeight="1">
      <c r="A152" s="505"/>
      <c r="B152" s="505"/>
      <c r="C152" s="505"/>
      <c r="D152" s="505"/>
      <c r="E152" s="505"/>
      <c r="F152" s="505"/>
      <c r="G152" s="505"/>
      <c r="H152" s="505"/>
      <c r="I152" s="505"/>
      <c r="J152" s="505"/>
      <c r="K152" s="505"/>
      <c r="L152" s="505"/>
      <c r="M152" s="505"/>
      <c r="N152" s="505"/>
      <c r="O152" s="505"/>
      <c r="P152" s="505"/>
      <c r="Q152" s="505"/>
      <c r="R152" s="505"/>
      <c r="S152" s="505"/>
      <c r="T152" s="505"/>
      <c r="U152" s="505"/>
      <c r="V152" s="505"/>
      <c r="W152" s="505"/>
      <c r="X152" s="505"/>
      <c r="Y152" s="505"/>
      <c r="Z152" s="505"/>
      <c r="AA152" s="505"/>
      <c r="AB152" s="505"/>
      <c r="AC152" s="505"/>
      <c r="AD152" s="505"/>
      <c r="AE152" s="505"/>
      <c r="AF152" s="505"/>
    </row>
    <row r="153" spans="1:32" ht="9.9499999999999993" customHeight="1">
      <c r="A153" s="505"/>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row>
    <row r="154" spans="1:32" ht="9.9499999999999993" customHeight="1">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505"/>
      <c r="AE154" s="505"/>
      <c r="AF154" s="505"/>
    </row>
    <row r="155" spans="1:32" ht="9.9499999999999993" customHeight="1">
      <c r="A155" s="505"/>
      <c r="B155" s="505"/>
      <c r="C155" s="505"/>
      <c r="D155" s="505"/>
      <c r="E155" s="505"/>
      <c r="F155" s="505"/>
      <c r="G155" s="505"/>
      <c r="H155" s="505"/>
      <c r="I155" s="505"/>
      <c r="J155" s="505"/>
      <c r="K155" s="505"/>
      <c r="L155" s="505"/>
      <c r="M155" s="505"/>
      <c r="N155" s="505"/>
      <c r="O155" s="505"/>
      <c r="P155" s="505"/>
      <c r="Q155" s="505"/>
      <c r="R155" s="505"/>
      <c r="S155" s="505"/>
      <c r="T155" s="505"/>
      <c r="U155" s="505"/>
      <c r="V155" s="505"/>
      <c r="W155" s="505"/>
      <c r="X155" s="505"/>
      <c r="Y155" s="505"/>
      <c r="Z155" s="505"/>
      <c r="AA155" s="505"/>
      <c r="AB155" s="505"/>
      <c r="AC155" s="505"/>
      <c r="AD155" s="505"/>
      <c r="AE155" s="505"/>
      <c r="AF155" s="505"/>
    </row>
    <row r="156" spans="1:32" ht="9.9499999999999993" customHeight="1">
      <c r="A156" s="505"/>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row>
    <row r="157" spans="1:32" ht="9.9499999999999993" customHeight="1">
      <c r="A157" s="505"/>
      <c r="B157" s="505"/>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505"/>
      <c r="AE157" s="505"/>
      <c r="AF157" s="505"/>
    </row>
    <row r="158" spans="1:32" ht="9.9499999999999993" customHeight="1">
      <c r="A158" s="505"/>
      <c r="B158" s="505"/>
      <c r="C158" s="505"/>
      <c r="D158" s="505"/>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row>
    <row r="159" spans="1:32" ht="9.9499999999999993" customHeight="1">
      <c r="A159" s="505"/>
      <c r="B159" s="505"/>
      <c r="C159" s="505"/>
      <c r="D159" s="505"/>
      <c r="E159" s="505"/>
      <c r="F159" s="505"/>
      <c r="G159" s="505"/>
      <c r="H159" s="505"/>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505"/>
      <c r="AE159" s="505"/>
      <c r="AF159" s="505"/>
    </row>
    <row r="160" spans="1:32" ht="9.9499999999999993" customHeight="1">
      <c r="A160" s="505"/>
      <c r="B160" s="505"/>
      <c r="C160" s="505"/>
      <c r="D160" s="505"/>
      <c r="E160" s="505"/>
      <c r="F160" s="505"/>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505"/>
      <c r="AE160" s="505"/>
      <c r="AF160" s="505"/>
    </row>
    <row r="161" spans="1:32" ht="9.9499999999999993" customHeight="1">
      <c r="A161" s="505"/>
      <c r="B161" s="505"/>
      <c r="C161" s="505"/>
      <c r="D161" s="505"/>
      <c r="E161" s="505"/>
      <c r="F161" s="505"/>
      <c r="G161" s="505"/>
      <c r="H161" s="505"/>
      <c r="I161" s="505"/>
      <c r="J161" s="505"/>
      <c r="K161" s="505"/>
      <c r="L161" s="505"/>
      <c r="M161" s="505"/>
      <c r="N161" s="505"/>
      <c r="O161" s="505"/>
      <c r="P161" s="505"/>
      <c r="Q161" s="505"/>
      <c r="R161" s="505"/>
      <c r="S161" s="505"/>
      <c r="T161" s="505"/>
      <c r="U161" s="505"/>
      <c r="V161" s="505"/>
      <c r="W161" s="505"/>
      <c r="X161" s="505"/>
      <c r="Y161" s="505"/>
      <c r="Z161" s="505"/>
      <c r="AA161" s="505"/>
      <c r="AB161" s="505"/>
      <c r="AC161" s="505"/>
      <c r="AD161" s="505"/>
      <c r="AE161" s="505"/>
      <c r="AF161" s="505"/>
    </row>
    <row r="162" spans="1:32" ht="9.9499999999999993" customHeight="1">
      <c r="A162" s="505"/>
      <c r="B162" s="505"/>
      <c r="C162" s="505"/>
      <c r="D162" s="505"/>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row>
    <row r="163" spans="1:32" ht="9.9499999999999993" customHeight="1">
      <c r="A163" s="505"/>
      <c r="B163" s="505"/>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row>
    <row r="164" spans="1:32" ht="9.9499999999999993" customHeight="1">
      <c r="A164" s="505"/>
      <c r="B164" s="505"/>
      <c r="C164" s="505"/>
      <c r="D164" s="505"/>
      <c r="E164" s="505"/>
      <c r="F164" s="505"/>
      <c r="G164" s="505"/>
      <c r="H164" s="505"/>
      <c r="I164" s="505"/>
      <c r="J164" s="505"/>
      <c r="K164" s="505"/>
      <c r="L164" s="505"/>
      <c r="M164" s="505"/>
      <c r="N164" s="505"/>
      <c r="O164" s="505"/>
      <c r="P164" s="505"/>
      <c r="Q164" s="505"/>
      <c r="R164" s="505"/>
      <c r="S164" s="505"/>
      <c r="T164" s="505"/>
      <c r="U164" s="505"/>
      <c r="V164" s="505"/>
      <c r="W164" s="505"/>
      <c r="X164" s="505"/>
      <c r="Y164" s="505"/>
      <c r="Z164" s="505"/>
      <c r="AA164" s="505"/>
      <c r="AB164" s="505"/>
      <c r="AC164" s="505"/>
      <c r="AD164" s="505"/>
      <c r="AE164" s="505"/>
      <c r="AF164" s="505"/>
    </row>
    <row r="165" spans="1:32" ht="9.9499999999999993" customHeight="1">
      <c r="A165" s="505"/>
      <c r="B165" s="505"/>
      <c r="C165" s="505"/>
      <c r="D165" s="505"/>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505"/>
      <c r="AE165" s="505"/>
      <c r="AF165" s="505"/>
    </row>
    <row r="166" spans="1:32" ht="9.9499999999999993" customHeight="1">
      <c r="A166" s="505"/>
      <c r="B166" s="505"/>
      <c r="C166" s="505"/>
      <c r="D166" s="505"/>
      <c r="E166" s="505"/>
      <c r="F166" s="505"/>
      <c r="G166" s="505"/>
      <c r="H166" s="505"/>
      <c r="I166" s="505"/>
      <c r="J166" s="505"/>
      <c r="K166" s="505"/>
      <c r="L166" s="505"/>
      <c r="M166" s="505"/>
      <c r="N166" s="505"/>
      <c r="O166" s="505"/>
      <c r="P166" s="505"/>
      <c r="Q166" s="505"/>
      <c r="R166" s="505"/>
      <c r="S166" s="505"/>
      <c r="T166" s="505"/>
      <c r="U166" s="505"/>
      <c r="V166" s="505"/>
      <c r="W166" s="505"/>
      <c r="X166" s="505"/>
      <c r="Y166" s="505"/>
      <c r="Z166" s="505"/>
      <c r="AA166" s="505"/>
      <c r="AB166" s="505"/>
      <c r="AC166" s="505"/>
      <c r="AD166" s="505"/>
      <c r="AE166" s="505"/>
      <c r="AF166" s="505"/>
    </row>
    <row r="167" spans="1:32" ht="9.9499999999999993" customHeight="1">
      <c r="A167" s="505"/>
      <c r="B167" s="505"/>
      <c r="C167" s="505"/>
      <c r="D167" s="505"/>
      <c r="E167" s="505"/>
      <c r="F167" s="505"/>
      <c r="G167" s="505"/>
      <c r="H167" s="505"/>
      <c r="I167" s="505"/>
      <c r="J167" s="505"/>
      <c r="K167" s="505"/>
      <c r="L167" s="505"/>
      <c r="M167" s="505"/>
      <c r="N167" s="505"/>
      <c r="O167" s="505"/>
      <c r="P167" s="505"/>
      <c r="Q167" s="505"/>
      <c r="R167" s="505"/>
      <c r="S167" s="505"/>
      <c r="T167" s="505"/>
      <c r="U167" s="505"/>
      <c r="V167" s="505"/>
      <c r="W167" s="505"/>
      <c r="X167" s="505"/>
      <c r="Y167" s="505"/>
      <c r="Z167" s="505"/>
      <c r="AA167" s="505"/>
      <c r="AB167" s="505"/>
      <c r="AC167" s="505"/>
      <c r="AD167" s="505"/>
      <c r="AE167" s="505"/>
      <c r="AF167" s="505"/>
    </row>
    <row r="168" spans="1:32" ht="9.9499999999999993" customHeight="1">
      <c r="A168" s="505"/>
      <c r="B168" s="505"/>
      <c r="C168" s="505"/>
      <c r="D168" s="505"/>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505"/>
      <c r="AE168" s="505"/>
      <c r="AF168" s="505"/>
    </row>
    <row r="169" spans="1:32" ht="9.9499999999999993" customHeight="1">
      <c r="A169" s="505"/>
      <c r="B169" s="505"/>
      <c r="C169" s="505"/>
      <c r="D169" s="505"/>
      <c r="E169" s="505"/>
      <c r="F169" s="505"/>
      <c r="G169" s="505"/>
      <c r="H169" s="505"/>
      <c r="I169" s="505"/>
      <c r="J169" s="505"/>
      <c r="K169" s="505"/>
      <c r="L169" s="505"/>
      <c r="M169" s="505"/>
      <c r="N169" s="505"/>
      <c r="O169" s="505"/>
      <c r="P169" s="505"/>
      <c r="Q169" s="505"/>
      <c r="R169" s="505"/>
      <c r="S169" s="505"/>
      <c r="T169" s="505"/>
      <c r="U169" s="505"/>
      <c r="V169" s="505"/>
      <c r="W169" s="505"/>
      <c r="X169" s="505"/>
      <c r="Y169" s="505"/>
      <c r="Z169" s="505"/>
      <c r="AA169" s="505"/>
      <c r="AB169" s="505"/>
      <c r="AC169" s="505"/>
      <c r="AD169" s="505"/>
      <c r="AE169" s="505"/>
      <c r="AF169" s="505"/>
    </row>
    <row r="170" spans="1:32" ht="9.9499999999999993" customHeight="1">
      <c r="A170" s="505"/>
      <c r="B170" s="505"/>
      <c r="C170" s="505"/>
      <c r="D170" s="505"/>
      <c r="E170" s="505"/>
      <c r="F170" s="505"/>
      <c r="G170" s="505"/>
      <c r="H170" s="505"/>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row>
    <row r="171" spans="1:32" ht="9.9499999999999993" customHeight="1">
      <c r="A171" s="505"/>
      <c r="B171" s="505"/>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505"/>
      <c r="AF171" s="505"/>
    </row>
    <row r="172" spans="1:32" ht="9.9499999999999993" customHeight="1">
      <c r="A172" s="505"/>
      <c r="B172" s="505"/>
      <c r="C172" s="505"/>
      <c r="D172" s="505"/>
      <c r="E172" s="505"/>
      <c r="F172" s="505"/>
      <c r="G172" s="505"/>
      <c r="H172" s="505"/>
      <c r="I172" s="505"/>
      <c r="J172" s="505"/>
      <c r="K172" s="505"/>
      <c r="L172" s="505"/>
      <c r="M172" s="505"/>
      <c r="N172" s="505"/>
      <c r="O172" s="505"/>
      <c r="P172" s="505"/>
      <c r="Q172" s="505"/>
      <c r="R172" s="505"/>
      <c r="S172" s="505"/>
      <c r="T172" s="505"/>
      <c r="U172" s="505"/>
      <c r="V172" s="505"/>
      <c r="W172" s="505"/>
      <c r="X172" s="505"/>
      <c r="Y172" s="505"/>
      <c r="Z172" s="505"/>
      <c r="AA172" s="505"/>
      <c r="AB172" s="505"/>
      <c r="AC172" s="505"/>
      <c r="AD172" s="505"/>
      <c r="AE172" s="505"/>
      <c r="AF172" s="505"/>
    </row>
    <row r="173" spans="1:32" ht="9.9499999999999993" customHeight="1">
      <c r="A173" s="505"/>
      <c r="B173" s="505"/>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505"/>
      <c r="AF173" s="505"/>
    </row>
    <row r="174" spans="1:32" ht="9.9499999999999993" customHeight="1">
      <c r="A174" s="505"/>
      <c r="B174" s="505"/>
      <c r="C174" s="505"/>
      <c r="D174" s="505"/>
      <c r="E174" s="505"/>
      <c r="F174" s="505"/>
      <c r="G174" s="505"/>
      <c r="H174" s="505"/>
      <c r="I174" s="505"/>
      <c r="J174" s="505"/>
      <c r="K174" s="505"/>
      <c r="L174" s="505"/>
      <c r="M174" s="505"/>
      <c r="N174" s="505"/>
      <c r="O174" s="505"/>
      <c r="P174" s="505"/>
      <c r="Q174" s="505"/>
      <c r="R174" s="505"/>
      <c r="S174" s="505"/>
      <c r="T174" s="505"/>
      <c r="U174" s="505"/>
      <c r="V174" s="505"/>
      <c r="W174" s="505"/>
      <c r="X174" s="505"/>
      <c r="Y174" s="505"/>
      <c r="Z174" s="505"/>
      <c r="AA174" s="505"/>
      <c r="AB174" s="505"/>
      <c r="AC174" s="505"/>
      <c r="AD174" s="505"/>
      <c r="AE174" s="505"/>
      <c r="AF174" s="505"/>
    </row>
    <row r="175" spans="1:32" ht="9.9499999999999993" customHeight="1">
      <c r="A175" s="505"/>
      <c r="B175" s="505"/>
      <c r="C175" s="505"/>
      <c r="D175" s="505"/>
      <c r="E175" s="505"/>
      <c r="F175" s="505"/>
      <c r="G175" s="505"/>
      <c r="H175" s="505"/>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row>
    <row r="176" spans="1:32" ht="9.9499999999999993" customHeight="1">
      <c r="A176" s="505"/>
      <c r="B176" s="505"/>
      <c r="C176" s="505"/>
      <c r="D176" s="505"/>
      <c r="E176" s="505"/>
      <c r="F176" s="505"/>
      <c r="G176" s="505"/>
      <c r="H176" s="505"/>
      <c r="I176" s="505"/>
      <c r="J176" s="505"/>
      <c r="K176" s="505"/>
      <c r="L176" s="505"/>
      <c r="M176" s="505"/>
      <c r="N176" s="505"/>
      <c r="O176" s="505"/>
      <c r="P176" s="505"/>
      <c r="Q176" s="505"/>
      <c r="R176" s="505"/>
      <c r="S176" s="505"/>
      <c r="T176" s="505"/>
      <c r="U176" s="505"/>
      <c r="V176" s="505"/>
      <c r="W176" s="505"/>
      <c r="X176" s="505"/>
      <c r="Y176" s="505"/>
      <c r="Z176" s="505"/>
      <c r="AA176" s="505"/>
      <c r="AB176" s="505"/>
      <c r="AC176" s="505"/>
      <c r="AD176" s="505"/>
      <c r="AE176" s="505"/>
      <c r="AF176" s="505"/>
    </row>
    <row r="177" spans="1:32" ht="9.9499999999999993" customHeight="1">
      <c r="A177" s="505"/>
      <c r="B177" s="505"/>
      <c r="C177" s="505"/>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row>
    <row r="178" spans="1:32" ht="9.9499999999999993" customHeight="1">
      <c r="A178" s="505"/>
      <c r="B178" s="505"/>
      <c r="C178" s="505"/>
      <c r="D178" s="505"/>
      <c r="E178" s="505"/>
      <c r="F178" s="505"/>
      <c r="G178" s="505"/>
      <c r="H178" s="505"/>
      <c r="I178" s="505"/>
      <c r="J178" s="505"/>
      <c r="K178" s="505"/>
      <c r="L178" s="505"/>
      <c r="M178" s="505"/>
      <c r="N178" s="505"/>
      <c r="O178" s="505"/>
      <c r="P178" s="505"/>
      <c r="Q178" s="505"/>
      <c r="R178" s="505"/>
      <c r="S178" s="505"/>
      <c r="T178" s="505"/>
      <c r="U178" s="505"/>
      <c r="V178" s="505"/>
      <c r="W178" s="505"/>
      <c r="X178" s="505"/>
      <c r="Y178" s="505"/>
      <c r="Z178" s="505"/>
      <c r="AA178" s="505"/>
      <c r="AB178" s="505"/>
      <c r="AC178" s="505"/>
      <c r="AD178" s="505"/>
      <c r="AE178" s="505"/>
      <c r="AF178" s="505"/>
    </row>
    <row r="179" spans="1:32" ht="9.9499999999999993" customHeight="1">
      <c r="A179" s="505"/>
      <c r="B179" s="505"/>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505"/>
      <c r="AF179" s="505"/>
    </row>
    <row r="180" spans="1:32" ht="9.9499999999999993" customHeight="1">
      <c r="A180" s="505"/>
      <c r="B180" s="505"/>
      <c r="C180" s="505"/>
      <c r="D180" s="505"/>
      <c r="E180" s="505"/>
      <c r="F180" s="505"/>
      <c r="G180" s="505"/>
      <c r="H180" s="505"/>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row>
    <row r="181" spans="1:32" ht="9.9499999999999993" customHeight="1">
      <c r="A181" s="505"/>
      <c r="B181" s="505"/>
      <c r="C181" s="505"/>
      <c r="D181" s="505"/>
      <c r="E181" s="505"/>
      <c r="F181" s="505"/>
      <c r="G181" s="505"/>
      <c r="H181" s="505"/>
      <c r="I181" s="505"/>
      <c r="J181" s="505"/>
      <c r="K181" s="505"/>
      <c r="L181" s="505"/>
      <c r="M181" s="505"/>
      <c r="N181" s="505"/>
      <c r="O181" s="505"/>
      <c r="P181" s="505"/>
      <c r="Q181" s="505"/>
      <c r="R181" s="505"/>
      <c r="S181" s="505"/>
      <c r="T181" s="505"/>
      <c r="U181" s="505"/>
      <c r="V181" s="505"/>
      <c r="W181" s="505"/>
      <c r="X181" s="505"/>
      <c r="Y181" s="505"/>
      <c r="Z181" s="505"/>
      <c r="AA181" s="505"/>
      <c r="AB181" s="505"/>
      <c r="AC181" s="505"/>
      <c r="AD181" s="505"/>
      <c r="AE181" s="505"/>
      <c r="AF181" s="505"/>
    </row>
    <row r="182" spans="1:32" ht="9.9499999999999993" customHeight="1">
      <c r="A182" s="505"/>
      <c r="B182" s="505"/>
      <c r="C182" s="505"/>
      <c r="D182" s="505"/>
      <c r="E182" s="505"/>
      <c r="F182" s="505"/>
      <c r="G182" s="505"/>
      <c r="H182" s="505"/>
      <c r="I182" s="505"/>
      <c r="J182" s="505"/>
      <c r="K182" s="505"/>
      <c r="L182" s="505"/>
      <c r="M182" s="505"/>
      <c r="N182" s="505"/>
      <c r="O182" s="505"/>
      <c r="P182" s="505"/>
      <c r="Q182" s="505"/>
      <c r="R182" s="505"/>
      <c r="S182" s="505"/>
      <c r="T182" s="505"/>
      <c r="U182" s="505"/>
      <c r="V182" s="505"/>
      <c r="W182" s="505"/>
      <c r="X182" s="505"/>
      <c r="Y182" s="505"/>
      <c r="Z182" s="505"/>
      <c r="AA182" s="505"/>
      <c r="AB182" s="505"/>
      <c r="AC182" s="505"/>
      <c r="AD182" s="505"/>
      <c r="AE182" s="505"/>
      <c r="AF182" s="505"/>
    </row>
    <row r="183" spans="1:32" ht="9.9499999999999993" customHeight="1">
      <c r="A183" s="505"/>
      <c r="B183" s="505"/>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row>
    <row r="184" spans="1:32" ht="9.9499999999999993" customHeight="1">
      <c r="A184" s="505"/>
      <c r="B184" s="505"/>
      <c r="C184" s="505"/>
      <c r="D184" s="505"/>
      <c r="E184" s="505"/>
      <c r="F184" s="505"/>
      <c r="G184" s="505"/>
      <c r="H184" s="505"/>
      <c r="I184" s="505"/>
      <c r="J184" s="505"/>
      <c r="K184" s="505"/>
      <c r="L184" s="505"/>
      <c r="M184" s="505"/>
      <c r="N184" s="505"/>
      <c r="O184" s="505"/>
      <c r="P184" s="505"/>
      <c r="Q184" s="505"/>
      <c r="R184" s="505"/>
      <c r="S184" s="505"/>
      <c r="T184" s="505"/>
      <c r="U184" s="505"/>
      <c r="V184" s="505"/>
      <c r="W184" s="505"/>
      <c r="X184" s="505"/>
      <c r="Y184" s="505"/>
      <c r="Z184" s="505"/>
      <c r="AA184" s="505"/>
      <c r="AB184" s="505"/>
      <c r="AC184" s="505"/>
      <c r="AD184" s="505"/>
      <c r="AE184" s="505"/>
      <c r="AF184" s="505"/>
    </row>
    <row r="185" spans="1:32" ht="9.9499999999999993" customHeight="1">
      <c r="A185" s="505"/>
      <c r="B185" s="505"/>
      <c r="C185" s="505"/>
      <c r="D185" s="505"/>
      <c r="E185" s="505"/>
      <c r="F185" s="505"/>
      <c r="G185" s="505"/>
      <c r="H185" s="505"/>
      <c r="I185" s="505"/>
      <c r="J185" s="505"/>
      <c r="K185" s="505"/>
      <c r="L185" s="505"/>
      <c r="M185" s="505"/>
      <c r="N185" s="505"/>
      <c r="O185" s="505"/>
      <c r="P185" s="505"/>
      <c r="Q185" s="505"/>
      <c r="R185" s="505"/>
      <c r="S185" s="505"/>
      <c r="T185" s="505"/>
      <c r="U185" s="505"/>
      <c r="V185" s="505"/>
      <c r="W185" s="505"/>
      <c r="X185" s="505"/>
      <c r="Y185" s="505"/>
      <c r="Z185" s="505"/>
      <c r="AA185" s="505"/>
      <c r="AB185" s="505"/>
      <c r="AC185" s="505"/>
      <c r="AD185" s="505"/>
      <c r="AE185" s="505"/>
      <c r="AF185" s="505"/>
    </row>
    <row r="186" spans="1:32" ht="9.9499999999999993" customHeight="1">
      <c r="A186" s="505"/>
      <c r="B186" s="505"/>
      <c r="C186" s="505"/>
      <c r="D186" s="505"/>
      <c r="E186" s="505"/>
      <c r="F186" s="505"/>
      <c r="G186" s="505"/>
      <c r="H186" s="505"/>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row>
    <row r="187" spans="1:32" ht="9.9499999999999993" customHeight="1">
      <c r="A187" s="505"/>
      <c r="B187" s="505"/>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5"/>
      <c r="Z187" s="505"/>
      <c r="AA187" s="505"/>
      <c r="AB187" s="505"/>
      <c r="AC187" s="505"/>
      <c r="AD187" s="505"/>
      <c r="AE187" s="505"/>
      <c r="AF187" s="505"/>
    </row>
    <row r="188" spans="1:32" ht="9.9499999999999993" customHeight="1">
      <c r="A188" s="505"/>
      <c r="B188" s="505"/>
      <c r="C188" s="505"/>
      <c r="D188" s="505"/>
      <c r="E188" s="505"/>
      <c r="F188" s="505"/>
      <c r="G188" s="505"/>
      <c r="H188" s="505"/>
      <c r="I188" s="505"/>
      <c r="J188" s="505"/>
      <c r="K188" s="505"/>
      <c r="L188" s="505"/>
      <c r="M188" s="505"/>
      <c r="N188" s="505"/>
      <c r="O188" s="505"/>
      <c r="P188" s="505"/>
      <c r="Q188" s="505"/>
      <c r="R188" s="505"/>
      <c r="S188" s="505"/>
      <c r="T188" s="505"/>
      <c r="U188" s="505"/>
      <c r="V188" s="505"/>
      <c r="W188" s="505"/>
      <c r="X188" s="505"/>
      <c r="Y188" s="505"/>
      <c r="Z188" s="505"/>
      <c r="AA188" s="505"/>
      <c r="AB188" s="505"/>
      <c r="AC188" s="505"/>
      <c r="AD188" s="505"/>
      <c r="AE188" s="505"/>
      <c r="AF188" s="505"/>
    </row>
    <row r="189" spans="1:32" ht="9.9499999999999993" customHeight="1">
      <c r="A189" s="505"/>
      <c r="B189" s="505"/>
      <c r="C189" s="505"/>
      <c r="D189" s="505"/>
      <c r="E189" s="505"/>
      <c r="F189" s="505"/>
      <c r="G189" s="505"/>
      <c r="H189" s="505"/>
      <c r="I189" s="505"/>
      <c r="J189" s="505"/>
      <c r="K189" s="505"/>
      <c r="L189" s="505"/>
      <c r="M189" s="505"/>
      <c r="N189" s="505"/>
      <c r="O189" s="505"/>
      <c r="P189" s="505"/>
      <c r="Q189" s="505"/>
      <c r="R189" s="505"/>
      <c r="S189" s="505"/>
      <c r="T189" s="505"/>
      <c r="U189" s="505"/>
      <c r="V189" s="505"/>
      <c r="W189" s="505"/>
      <c r="X189" s="505"/>
      <c r="Y189" s="505"/>
      <c r="Z189" s="505"/>
      <c r="AA189" s="505"/>
      <c r="AB189" s="505"/>
      <c r="AC189" s="505"/>
      <c r="AD189" s="505"/>
      <c r="AE189" s="505"/>
      <c r="AF189" s="505"/>
    </row>
    <row r="190" spans="1:32" ht="9.9499999999999993" customHeight="1">
      <c r="A190" s="505"/>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row>
    <row r="191" spans="1:32" ht="9.9499999999999993" customHeight="1">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505"/>
      <c r="AE191" s="505"/>
      <c r="AF191" s="505"/>
    </row>
    <row r="192" spans="1:32" ht="9.9499999999999993" customHeight="1">
      <c r="A192" s="505"/>
      <c r="B192" s="505"/>
      <c r="C192" s="505"/>
      <c r="D192" s="505"/>
      <c r="E192" s="505"/>
      <c r="F192" s="505"/>
      <c r="G192" s="505"/>
      <c r="H192" s="505"/>
      <c r="I192" s="505"/>
      <c r="J192" s="505"/>
      <c r="K192" s="505"/>
      <c r="L192" s="505"/>
      <c r="M192" s="505"/>
      <c r="N192" s="505"/>
      <c r="O192" s="505"/>
      <c r="P192" s="505"/>
      <c r="Q192" s="505"/>
      <c r="R192" s="505"/>
      <c r="S192" s="505"/>
      <c r="T192" s="505"/>
      <c r="U192" s="505"/>
      <c r="V192" s="505"/>
      <c r="W192" s="505"/>
      <c r="X192" s="505"/>
      <c r="Y192" s="505"/>
      <c r="Z192" s="505"/>
      <c r="AA192" s="505"/>
      <c r="AB192" s="505"/>
      <c r="AC192" s="505"/>
      <c r="AD192" s="505"/>
      <c r="AE192" s="505"/>
      <c r="AF192" s="505"/>
    </row>
    <row r="193" spans="1:32" ht="9.9499999999999993" customHeight="1">
      <c r="A193" s="505"/>
      <c r="B193" s="505"/>
      <c r="C193" s="505"/>
      <c r="D193" s="505"/>
      <c r="E193" s="505"/>
      <c r="F193" s="505"/>
      <c r="G193" s="505"/>
      <c r="H193" s="505"/>
      <c r="I193" s="505"/>
      <c r="J193" s="505"/>
      <c r="K193" s="505"/>
      <c r="L193" s="505"/>
      <c r="M193" s="505"/>
      <c r="N193" s="505"/>
      <c r="O193" s="505"/>
      <c r="P193" s="505"/>
      <c r="Q193" s="505"/>
      <c r="R193" s="505"/>
      <c r="S193" s="505"/>
      <c r="T193" s="505"/>
      <c r="U193" s="505"/>
      <c r="V193" s="505"/>
      <c r="W193" s="505"/>
      <c r="X193" s="505"/>
      <c r="Y193" s="505"/>
      <c r="Z193" s="505"/>
      <c r="AA193" s="505"/>
      <c r="AB193" s="505"/>
      <c r="AC193" s="505"/>
      <c r="AD193" s="505"/>
      <c r="AE193" s="505"/>
      <c r="AF193" s="505"/>
    </row>
    <row r="194" spans="1:32" ht="9.9499999999999993" customHeight="1">
      <c r="A194" s="505"/>
      <c r="B194" s="505"/>
      <c r="C194" s="505"/>
      <c r="D194" s="505"/>
      <c r="E194" s="505"/>
      <c r="F194" s="505"/>
      <c r="G194" s="505"/>
      <c r="H194" s="505"/>
      <c r="I194" s="505"/>
      <c r="J194" s="505"/>
      <c r="K194" s="505"/>
      <c r="L194" s="505"/>
      <c r="M194" s="505"/>
      <c r="N194" s="505"/>
      <c r="O194" s="505"/>
      <c r="P194" s="505"/>
      <c r="Q194" s="505"/>
      <c r="R194" s="505"/>
      <c r="S194" s="505"/>
      <c r="T194" s="505"/>
      <c r="U194" s="505"/>
      <c r="V194" s="505"/>
      <c r="W194" s="505"/>
      <c r="X194" s="505"/>
      <c r="Y194" s="505"/>
      <c r="Z194" s="505"/>
      <c r="AA194" s="505"/>
      <c r="AB194" s="505"/>
      <c r="AC194" s="505"/>
      <c r="AD194" s="505"/>
      <c r="AE194" s="505"/>
      <c r="AF194" s="505"/>
    </row>
    <row r="195" spans="1:32" ht="9.9499999999999993" customHeight="1">
      <c r="A195" s="505"/>
      <c r="B195" s="505"/>
      <c r="C195" s="505"/>
      <c r="D195" s="505"/>
      <c r="E195" s="505"/>
      <c r="F195" s="505"/>
      <c r="G195" s="505"/>
      <c r="H195" s="505"/>
      <c r="I195" s="505"/>
      <c r="J195" s="505"/>
      <c r="K195" s="505"/>
      <c r="L195" s="505"/>
      <c r="M195" s="505"/>
      <c r="N195" s="505"/>
      <c r="O195" s="505"/>
      <c r="P195" s="505"/>
      <c r="Q195" s="505"/>
      <c r="R195" s="505"/>
      <c r="S195" s="505"/>
      <c r="T195" s="505"/>
      <c r="U195" s="505"/>
      <c r="V195" s="505"/>
      <c r="W195" s="505"/>
      <c r="X195" s="505"/>
      <c r="Y195" s="505"/>
      <c r="Z195" s="505"/>
      <c r="AA195" s="505"/>
      <c r="AB195" s="505"/>
      <c r="AC195" s="505"/>
      <c r="AD195" s="505"/>
      <c r="AE195" s="505"/>
      <c r="AF195" s="505"/>
    </row>
    <row r="196" spans="1:32" ht="9.9499999999999993" customHeight="1">
      <c r="A196" s="505"/>
      <c r="B196" s="505"/>
      <c r="C196" s="505"/>
      <c r="D196" s="505"/>
      <c r="E196" s="505"/>
      <c r="F196" s="505"/>
      <c r="G196" s="505"/>
      <c r="H196" s="505"/>
      <c r="I196" s="505"/>
      <c r="J196" s="505"/>
      <c r="K196" s="505"/>
      <c r="L196" s="505"/>
      <c r="M196" s="505"/>
      <c r="N196" s="505"/>
      <c r="O196" s="505"/>
      <c r="P196" s="505"/>
      <c r="Q196" s="505"/>
      <c r="R196" s="505"/>
      <c r="S196" s="505"/>
      <c r="T196" s="505"/>
      <c r="U196" s="505"/>
      <c r="V196" s="505"/>
      <c r="W196" s="505"/>
      <c r="X196" s="505"/>
      <c r="Y196" s="505"/>
      <c r="Z196" s="505"/>
      <c r="AA196" s="505"/>
      <c r="AB196" s="505"/>
      <c r="AC196" s="505"/>
      <c r="AD196" s="505"/>
      <c r="AE196" s="505"/>
      <c r="AF196" s="505"/>
    </row>
    <row r="197" spans="1:32" ht="9.9499999999999993" customHeight="1">
      <c r="A197" s="505"/>
      <c r="B197" s="505"/>
      <c r="C197" s="505"/>
      <c r="D197" s="505"/>
      <c r="E197" s="505"/>
      <c r="F197" s="505"/>
      <c r="G197" s="505"/>
      <c r="H197" s="505"/>
      <c r="I197" s="505"/>
      <c r="J197" s="505"/>
      <c r="K197" s="505"/>
      <c r="L197" s="505"/>
      <c r="M197" s="505"/>
      <c r="N197" s="505"/>
      <c r="O197" s="505"/>
      <c r="P197" s="505"/>
      <c r="Q197" s="505"/>
      <c r="R197" s="505"/>
      <c r="S197" s="505"/>
      <c r="T197" s="505"/>
      <c r="U197" s="505"/>
      <c r="V197" s="505"/>
      <c r="W197" s="505"/>
      <c r="X197" s="505"/>
      <c r="Y197" s="505"/>
      <c r="Z197" s="505"/>
      <c r="AA197" s="505"/>
      <c r="AB197" s="505"/>
      <c r="AC197" s="505"/>
      <c r="AD197" s="505"/>
      <c r="AE197" s="505"/>
      <c r="AF197" s="505"/>
    </row>
    <row r="198" spans="1:32" ht="9.9499999999999993" customHeight="1">
      <c r="A198" s="505"/>
      <c r="B198" s="505"/>
      <c r="C198" s="505"/>
      <c r="D198" s="505"/>
      <c r="E198" s="505"/>
      <c r="F198" s="505"/>
      <c r="G198" s="505"/>
      <c r="H198" s="505"/>
      <c r="I198" s="505"/>
      <c r="J198" s="505"/>
      <c r="K198" s="505"/>
      <c r="L198" s="505"/>
      <c r="M198" s="505"/>
      <c r="N198" s="505"/>
      <c r="O198" s="505"/>
      <c r="P198" s="505"/>
      <c r="Q198" s="505"/>
      <c r="R198" s="505"/>
      <c r="S198" s="505"/>
      <c r="T198" s="505"/>
      <c r="U198" s="505"/>
      <c r="V198" s="505"/>
      <c r="W198" s="505"/>
      <c r="X198" s="505"/>
      <c r="Y198" s="505"/>
      <c r="Z198" s="505"/>
      <c r="AA198" s="505"/>
      <c r="AB198" s="505"/>
      <c r="AC198" s="505"/>
      <c r="AD198" s="505"/>
      <c r="AE198" s="505"/>
      <c r="AF198" s="505"/>
    </row>
    <row r="199" spans="1:32" ht="9.9499999999999993" customHeight="1">
      <c r="A199" s="505"/>
      <c r="B199" s="505"/>
      <c r="C199" s="505"/>
      <c r="D199" s="505"/>
      <c r="E199" s="505"/>
      <c r="F199" s="505"/>
      <c r="G199" s="505"/>
      <c r="H199" s="505"/>
      <c r="I199" s="505"/>
      <c r="J199" s="505"/>
      <c r="K199" s="505"/>
      <c r="L199" s="505"/>
      <c r="M199" s="505"/>
      <c r="N199" s="505"/>
      <c r="O199" s="505"/>
      <c r="P199" s="505"/>
      <c r="Q199" s="505"/>
      <c r="R199" s="505"/>
      <c r="S199" s="505"/>
      <c r="T199" s="505"/>
      <c r="U199" s="505"/>
      <c r="V199" s="505"/>
      <c r="W199" s="505"/>
      <c r="X199" s="505"/>
      <c r="Y199" s="505"/>
      <c r="Z199" s="505"/>
      <c r="AA199" s="505"/>
      <c r="AB199" s="505"/>
      <c r="AC199" s="505"/>
      <c r="AD199" s="505"/>
      <c r="AE199" s="505"/>
      <c r="AF199" s="505"/>
    </row>
    <row r="200" spans="1:32" ht="9.9499999999999993" customHeight="1">
      <c r="A200" s="505"/>
      <c r="B200" s="505"/>
      <c r="C200" s="505"/>
      <c r="D200" s="505"/>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505"/>
      <c r="AE200" s="505"/>
      <c r="AF200" s="505"/>
    </row>
    <row r="201" spans="1:32" ht="9.9499999999999993" customHeight="1">
      <c r="A201" s="505"/>
      <c r="B201" s="505"/>
      <c r="C201" s="505"/>
      <c r="D201" s="505"/>
      <c r="E201" s="505"/>
      <c r="F201" s="505"/>
      <c r="G201" s="505"/>
      <c r="H201" s="505"/>
      <c r="I201" s="505"/>
      <c r="J201" s="505"/>
      <c r="K201" s="505"/>
      <c r="L201" s="505"/>
      <c r="M201" s="505"/>
      <c r="N201" s="505"/>
      <c r="O201" s="505"/>
      <c r="P201" s="505"/>
      <c r="Q201" s="505"/>
      <c r="R201" s="505"/>
      <c r="S201" s="505"/>
      <c r="T201" s="505"/>
      <c r="U201" s="505"/>
      <c r="V201" s="505"/>
      <c r="W201" s="505"/>
      <c r="X201" s="505"/>
      <c r="Y201" s="505"/>
      <c r="Z201" s="505"/>
      <c r="AA201" s="505"/>
      <c r="AB201" s="505"/>
      <c r="AC201" s="505"/>
      <c r="AD201" s="505"/>
      <c r="AE201" s="505"/>
      <c r="AF201" s="505"/>
    </row>
    <row r="202" spans="1:32" ht="9.9499999999999993" customHeight="1">
      <c r="A202" s="505"/>
      <c r="B202" s="505"/>
      <c r="C202" s="505"/>
      <c r="D202" s="505"/>
      <c r="E202" s="505"/>
      <c r="F202" s="505"/>
      <c r="G202" s="505"/>
      <c r="H202" s="505"/>
      <c r="I202" s="505"/>
      <c r="J202" s="505"/>
      <c r="K202" s="505"/>
      <c r="L202" s="505"/>
      <c r="M202" s="505"/>
      <c r="N202" s="505"/>
      <c r="O202" s="505"/>
      <c r="P202" s="505"/>
      <c r="Q202" s="505"/>
      <c r="R202" s="505"/>
      <c r="S202" s="505"/>
      <c r="T202" s="505"/>
      <c r="U202" s="505"/>
      <c r="V202" s="505"/>
      <c r="W202" s="505"/>
      <c r="X202" s="505"/>
      <c r="Y202" s="505"/>
      <c r="Z202" s="505"/>
      <c r="AA202" s="505"/>
      <c r="AB202" s="505"/>
      <c r="AC202" s="505"/>
      <c r="AD202" s="505"/>
      <c r="AE202" s="505"/>
      <c r="AF202" s="505"/>
    </row>
    <row r="203" spans="1:32" ht="9.9499999999999993" customHeight="1">
      <c r="A203" s="505"/>
      <c r="B203" s="505"/>
      <c r="C203" s="505"/>
      <c r="D203" s="505"/>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row>
    <row r="204" spans="1:32" ht="9.9499999999999993" customHeight="1">
      <c r="A204" s="505"/>
      <c r="B204" s="505"/>
      <c r="C204" s="505"/>
      <c r="D204" s="505"/>
      <c r="E204" s="505"/>
      <c r="F204" s="505"/>
      <c r="G204" s="505"/>
      <c r="H204" s="505"/>
      <c r="I204" s="505"/>
      <c r="J204" s="505"/>
      <c r="K204" s="505"/>
      <c r="L204" s="505"/>
      <c r="M204" s="505"/>
      <c r="N204" s="505"/>
      <c r="O204" s="505"/>
      <c r="P204" s="505"/>
      <c r="Q204" s="505"/>
      <c r="R204" s="505"/>
      <c r="S204" s="505"/>
      <c r="T204" s="505"/>
      <c r="U204" s="505"/>
      <c r="V204" s="505"/>
      <c r="W204" s="505"/>
      <c r="X204" s="505"/>
      <c r="Y204" s="505"/>
      <c r="Z204" s="505"/>
      <c r="AA204" s="505"/>
      <c r="AB204" s="505"/>
      <c r="AC204" s="505"/>
      <c r="AD204" s="505"/>
      <c r="AE204" s="505"/>
      <c r="AF204" s="505"/>
    </row>
    <row r="205" spans="1:32" ht="9.9499999999999993" customHeight="1">
      <c r="A205" s="505"/>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505"/>
      <c r="AE205" s="505"/>
      <c r="AF205" s="505"/>
    </row>
    <row r="206" spans="1:32" ht="9.9499999999999993" customHeight="1">
      <c r="A206" s="505"/>
      <c r="B206" s="505"/>
      <c r="C206" s="505"/>
      <c r="D206" s="505"/>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505"/>
      <c r="AE206" s="505"/>
      <c r="AF206" s="505"/>
    </row>
    <row r="207" spans="1:32" ht="9.9499999999999993" customHeight="1">
      <c r="A207" s="505"/>
      <c r="B207" s="505"/>
      <c r="C207" s="505"/>
      <c r="D207" s="505"/>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505"/>
      <c r="AE207" s="505"/>
      <c r="AF207" s="505"/>
    </row>
    <row r="208" spans="1:32" ht="9.9499999999999993" customHeight="1">
      <c r="A208" s="505"/>
      <c r="B208" s="505"/>
      <c r="C208" s="505"/>
      <c r="D208" s="505"/>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505"/>
      <c r="AE208" s="505"/>
      <c r="AF208" s="505"/>
    </row>
    <row r="209" spans="1:32" ht="9.9499999999999993" customHeight="1">
      <c r="A209" s="505"/>
      <c r="B209" s="505"/>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row>
    <row r="210" spans="1:32" ht="9.9499999999999993" customHeight="1">
      <c r="A210" s="505"/>
      <c r="B210" s="505"/>
      <c r="C210" s="505"/>
      <c r="D210" s="505"/>
      <c r="E210" s="505"/>
      <c r="F210" s="505"/>
      <c r="G210" s="505"/>
      <c r="H210" s="505"/>
      <c r="I210" s="505"/>
      <c r="J210" s="505"/>
      <c r="K210" s="505"/>
      <c r="L210" s="505"/>
      <c r="M210" s="505"/>
      <c r="N210" s="505"/>
      <c r="O210" s="505"/>
      <c r="P210" s="505"/>
      <c r="Q210" s="505"/>
      <c r="R210" s="505"/>
      <c r="S210" s="505"/>
      <c r="T210" s="505"/>
      <c r="U210" s="505"/>
      <c r="V210" s="505"/>
      <c r="W210" s="505"/>
      <c r="X210" s="505"/>
      <c r="Y210" s="505"/>
      <c r="Z210" s="505"/>
      <c r="AA210" s="505"/>
      <c r="AB210" s="505"/>
      <c r="AC210" s="505"/>
      <c r="AD210" s="505"/>
      <c r="AE210" s="505"/>
      <c r="AF210" s="505"/>
    </row>
    <row r="211" spans="1:32" ht="9.9499999999999993" customHeight="1">
      <c r="A211" s="505"/>
      <c r="B211" s="505"/>
      <c r="C211" s="505"/>
      <c r="D211" s="505"/>
      <c r="E211" s="505"/>
      <c r="F211" s="505"/>
      <c r="G211" s="505"/>
      <c r="H211" s="505"/>
      <c r="I211" s="505"/>
      <c r="J211" s="505"/>
      <c r="K211" s="505"/>
      <c r="L211" s="505"/>
      <c r="M211" s="505"/>
      <c r="N211" s="505"/>
      <c r="O211" s="505"/>
      <c r="P211" s="505"/>
      <c r="Q211" s="505"/>
      <c r="R211" s="505"/>
      <c r="S211" s="505"/>
      <c r="T211" s="505"/>
      <c r="U211" s="505"/>
      <c r="V211" s="505"/>
      <c r="W211" s="505"/>
      <c r="X211" s="505"/>
      <c r="Y211" s="505"/>
      <c r="Z211" s="505"/>
      <c r="AA211" s="505"/>
      <c r="AB211" s="505"/>
      <c r="AC211" s="505"/>
      <c r="AD211" s="505"/>
      <c r="AE211" s="505"/>
      <c r="AF211" s="505"/>
    </row>
    <row r="212" spans="1:32" ht="9.9499999999999993" customHeight="1">
      <c r="A212" s="505"/>
      <c r="B212" s="505"/>
      <c r="C212" s="505"/>
      <c r="D212" s="505"/>
      <c r="E212" s="505"/>
      <c r="F212" s="505"/>
      <c r="G212" s="505"/>
      <c r="H212" s="505"/>
      <c r="I212" s="505"/>
      <c r="J212" s="505"/>
      <c r="K212" s="505"/>
      <c r="L212" s="505"/>
      <c r="M212" s="505"/>
      <c r="N212" s="505"/>
      <c r="O212" s="505"/>
      <c r="P212" s="505"/>
      <c r="Q212" s="505"/>
      <c r="R212" s="505"/>
      <c r="S212" s="505"/>
      <c r="T212" s="505"/>
      <c r="U212" s="505"/>
      <c r="V212" s="505"/>
      <c r="W212" s="505"/>
      <c r="X212" s="505"/>
      <c r="Y212" s="505"/>
      <c r="Z212" s="505"/>
      <c r="AA212" s="505"/>
      <c r="AB212" s="505"/>
      <c r="AC212" s="505"/>
      <c r="AD212" s="505"/>
      <c r="AE212" s="505"/>
      <c r="AF212" s="505"/>
    </row>
    <row r="213" spans="1:32" ht="9.9499999999999993" customHeight="1">
      <c r="A213" s="505"/>
      <c r="B213" s="505"/>
      <c r="C213" s="505"/>
      <c r="D213" s="505"/>
      <c r="E213" s="505"/>
      <c r="F213" s="505"/>
      <c r="G213" s="505"/>
      <c r="H213" s="505"/>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505"/>
      <c r="AE213" s="505"/>
      <c r="AF213" s="505"/>
    </row>
    <row r="214" spans="1:32" ht="9.9499999999999993" customHeight="1">
      <c r="A214" s="505"/>
      <c r="B214" s="505"/>
      <c r="C214" s="505"/>
      <c r="D214" s="505"/>
      <c r="E214" s="505"/>
      <c r="F214" s="505"/>
      <c r="G214" s="505"/>
      <c r="H214" s="505"/>
      <c r="I214" s="505"/>
      <c r="J214" s="505"/>
      <c r="K214" s="505"/>
      <c r="L214" s="505"/>
      <c r="M214" s="505"/>
      <c r="N214" s="505"/>
      <c r="O214" s="505"/>
      <c r="P214" s="505"/>
      <c r="Q214" s="505"/>
      <c r="R214" s="505"/>
      <c r="S214" s="505"/>
      <c r="T214" s="505"/>
      <c r="U214" s="505"/>
      <c r="V214" s="505"/>
      <c r="W214" s="505"/>
      <c r="X214" s="505"/>
      <c r="Y214" s="505"/>
      <c r="Z214" s="505"/>
      <c r="AA214" s="505"/>
      <c r="AB214" s="505"/>
      <c r="AC214" s="505"/>
      <c r="AD214" s="505"/>
      <c r="AE214" s="505"/>
      <c r="AF214" s="505"/>
    </row>
    <row r="215" spans="1:32" ht="9.9499999999999993" customHeight="1">
      <c r="A215" s="505"/>
      <c r="B215" s="505"/>
      <c r="C215" s="505"/>
      <c r="D215" s="505"/>
      <c r="E215" s="505"/>
      <c r="F215" s="505"/>
      <c r="G215" s="505"/>
      <c r="H215" s="505"/>
      <c r="I215" s="505"/>
      <c r="J215" s="505"/>
      <c r="K215" s="505"/>
      <c r="L215" s="505"/>
      <c r="M215" s="505"/>
      <c r="N215" s="505"/>
      <c r="O215" s="505"/>
      <c r="P215" s="505"/>
      <c r="Q215" s="505"/>
      <c r="R215" s="505"/>
      <c r="S215" s="505"/>
      <c r="T215" s="505"/>
      <c r="U215" s="505"/>
      <c r="V215" s="505"/>
      <c r="W215" s="505"/>
      <c r="X215" s="505"/>
      <c r="Y215" s="505"/>
      <c r="Z215" s="505"/>
      <c r="AA215" s="505"/>
      <c r="AB215" s="505"/>
      <c r="AC215" s="505"/>
      <c r="AD215" s="505"/>
      <c r="AE215" s="505"/>
      <c r="AF215" s="505"/>
    </row>
    <row r="216" spans="1:32" ht="9.9499999999999993" customHeight="1">
      <c r="A216" s="505"/>
      <c r="B216" s="505"/>
      <c r="C216" s="505"/>
      <c r="D216" s="505"/>
      <c r="E216" s="505"/>
      <c r="F216" s="505"/>
      <c r="G216" s="505"/>
      <c r="H216" s="505"/>
      <c r="I216" s="505"/>
      <c r="J216" s="505"/>
      <c r="K216" s="505"/>
      <c r="L216" s="505"/>
      <c r="M216" s="505"/>
      <c r="N216" s="505"/>
      <c r="O216" s="505"/>
      <c r="P216" s="505"/>
      <c r="Q216" s="505"/>
      <c r="R216" s="505"/>
      <c r="S216" s="505"/>
      <c r="T216" s="505"/>
      <c r="U216" s="505"/>
      <c r="V216" s="505"/>
      <c r="W216" s="505"/>
      <c r="X216" s="505"/>
      <c r="Y216" s="505"/>
      <c r="Z216" s="505"/>
      <c r="AA216" s="505"/>
      <c r="AB216" s="505"/>
      <c r="AC216" s="505"/>
      <c r="AD216" s="505"/>
      <c r="AE216" s="505"/>
      <c r="AF216" s="505"/>
    </row>
    <row r="581" spans="8:8" ht="9.9499999999999993" customHeight="1">
      <c r="H581" s="487"/>
    </row>
    <row r="582" spans="8:8" ht="9.9499999999999993" customHeight="1">
      <c r="H582" s="487"/>
    </row>
    <row r="583" spans="8:8" ht="9.9499999999999993" customHeight="1">
      <c r="H583" s="487"/>
    </row>
    <row r="584" spans="8:8" ht="9.9499999999999993" customHeight="1">
      <c r="H584" s="487"/>
    </row>
    <row r="585" spans="8:8" ht="9.9499999999999993" customHeight="1">
      <c r="H585" s="487"/>
    </row>
    <row r="586" spans="8:8" ht="9.9499999999999993" customHeight="1">
      <c r="H586" s="487"/>
    </row>
    <row r="587" spans="8:8" ht="9.9499999999999993" customHeight="1">
      <c r="H587" s="487"/>
    </row>
    <row r="588" spans="8:8" ht="9.9499999999999993" customHeight="1">
      <c r="H588" s="487"/>
    </row>
    <row r="589" spans="8:8" ht="9.9499999999999993" customHeight="1">
      <c r="H589" s="487"/>
    </row>
    <row r="590" spans="8:8" ht="9.9499999999999993" customHeight="1">
      <c r="H590" s="487"/>
    </row>
    <row r="591" spans="8:8" ht="9.9499999999999993" customHeight="1">
      <c r="H591" s="487"/>
    </row>
    <row r="592" spans="8:8" ht="9.9499999999999993" customHeight="1">
      <c r="H592" s="487"/>
    </row>
    <row r="593" spans="8:8" ht="9.9499999999999993" customHeight="1">
      <c r="H593" s="487"/>
    </row>
    <row r="594" spans="8:8" ht="9.9499999999999993" customHeight="1">
      <c r="H594" s="487"/>
    </row>
    <row r="595" spans="8:8" ht="9.9499999999999993" customHeight="1">
      <c r="H595" s="487"/>
    </row>
    <row r="596" spans="8:8" ht="9.9499999999999993" customHeight="1">
      <c r="H596" s="487"/>
    </row>
    <row r="597" spans="8:8" ht="9.9499999999999993" customHeight="1">
      <c r="H597" s="487"/>
    </row>
    <row r="598" spans="8:8" ht="9.9499999999999993" customHeight="1">
      <c r="H598" s="487"/>
    </row>
    <row r="599" spans="8:8" ht="9.9499999999999993" customHeight="1">
      <c r="H599" s="487"/>
    </row>
    <row r="600" spans="8:8" ht="9.9499999999999993" customHeight="1">
      <c r="H600" s="487"/>
    </row>
    <row r="601" spans="8:8" ht="9.9499999999999993" customHeight="1">
      <c r="H601" s="487"/>
    </row>
    <row r="602" spans="8:8" ht="9.9499999999999993" customHeight="1">
      <c r="H602" s="487"/>
    </row>
    <row r="603" spans="8:8" ht="9.9499999999999993" customHeight="1">
      <c r="H603" s="487"/>
    </row>
    <row r="604" spans="8:8" ht="9.9499999999999993" customHeight="1">
      <c r="H604" s="487"/>
    </row>
    <row r="605" spans="8:8" ht="9.9499999999999993" customHeight="1">
      <c r="H605" s="487"/>
    </row>
    <row r="606" spans="8:8" ht="9.9499999999999993" customHeight="1">
      <c r="H606" s="487"/>
    </row>
    <row r="607" spans="8:8" ht="9.9499999999999993" customHeight="1">
      <c r="H607" s="487"/>
    </row>
    <row r="608" spans="8:8" ht="9.9499999999999993" customHeight="1">
      <c r="H608" s="487"/>
    </row>
    <row r="609" spans="8:8" ht="9.9499999999999993" customHeight="1">
      <c r="H609" s="487"/>
    </row>
    <row r="610" spans="8:8" ht="9.9499999999999993" customHeight="1">
      <c r="H610" s="487"/>
    </row>
    <row r="611" spans="8:8" ht="9.9499999999999993" customHeight="1">
      <c r="H611" s="487"/>
    </row>
    <row r="612" spans="8:8" ht="9.9499999999999993" customHeight="1">
      <c r="H612" s="487"/>
    </row>
    <row r="613" spans="8:8" ht="9.9499999999999993" customHeight="1">
      <c r="H613" s="487"/>
    </row>
    <row r="614" spans="8:8" ht="9.9499999999999993" customHeight="1">
      <c r="H614" s="487"/>
    </row>
    <row r="615" spans="8:8" ht="9.9499999999999993" customHeight="1">
      <c r="H615" s="487"/>
    </row>
    <row r="616" spans="8:8" ht="9.9499999999999993" customHeight="1">
      <c r="H616" s="487"/>
    </row>
    <row r="617" spans="8:8" ht="9.9499999999999993" customHeight="1">
      <c r="H617" s="487"/>
    </row>
    <row r="618" spans="8:8" ht="9.9499999999999993" customHeight="1">
      <c r="H618" s="487"/>
    </row>
    <row r="619" spans="8:8" ht="9.9499999999999993" customHeight="1">
      <c r="H619" s="487"/>
    </row>
    <row r="620" spans="8:8" ht="9.9499999999999993" customHeight="1">
      <c r="H620" s="487"/>
    </row>
    <row r="621" spans="8:8" ht="9.9499999999999993" customHeight="1">
      <c r="H621" s="487"/>
    </row>
    <row r="622" spans="8:8" ht="9.9499999999999993" customHeight="1">
      <c r="H622" s="487"/>
    </row>
    <row r="623" spans="8:8" ht="9.9499999999999993" customHeight="1">
      <c r="H623" s="487"/>
    </row>
    <row r="624" spans="8:8" ht="9.9499999999999993" customHeight="1">
      <c r="H624" s="487"/>
    </row>
    <row r="625" spans="8:8" ht="9.9499999999999993" customHeight="1">
      <c r="H625" s="487"/>
    </row>
    <row r="626" spans="8:8" ht="9.9499999999999993" customHeight="1">
      <c r="H626" s="487"/>
    </row>
    <row r="627" spans="8:8" ht="9.9499999999999993" customHeight="1">
      <c r="H627" s="487"/>
    </row>
    <row r="628" spans="8:8" ht="9.9499999999999993" customHeight="1">
      <c r="H628" s="487"/>
    </row>
    <row r="629" spans="8:8" ht="9.9499999999999993" customHeight="1">
      <c r="H629" s="487"/>
    </row>
    <row r="630" spans="8:8" ht="9.9499999999999993" customHeight="1">
      <c r="H630" s="487"/>
    </row>
    <row r="631" spans="8:8" ht="9.9499999999999993" customHeight="1">
      <c r="H631" s="487"/>
    </row>
    <row r="632" spans="8:8" ht="9.9499999999999993" customHeight="1">
      <c r="H632" s="487"/>
    </row>
    <row r="633" spans="8:8" ht="9.9499999999999993" customHeight="1">
      <c r="H633" s="487"/>
    </row>
    <row r="634" spans="8:8" ht="9.9499999999999993" customHeight="1">
      <c r="H634" s="487"/>
    </row>
    <row r="635" spans="8:8" ht="9.9499999999999993" customHeight="1">
      <c r="H635" s="487"/>
    </row>
    <row r="636" spans="8:8" ht="9.9499999999999993" customHeight="1">
      <c r="H636" s="487"/>
    </row>
    <row r="637" spans="8:8" ht="9.9499999999999993" customHeight="1">
      <c r="H637" s="487"/>
    </row>
    <row r="638" spans="8:8" ht="9.9499999999999993" customHeight="1">
      <c r="H638" s="487"/>
    </row>
    <row r="639" spans="8:8" ht="9.9499999999999993" customHeight="1">
      <c r="H639" s="487"/>
    </row>
    <row r="640" spans="8:8" ht="9.9499999999999993" customHeight="1">
      <c r="H640" s="487"/>
    </row>
    <row r="641" spans="8:8" ht="9.9499999999999993" customHeight="1">
      <c r="H641" s="487"/>
    </row>
    <row r="642" spans="8:8" ht="9.9499999999999993" customHeight="1">
      <c r="H642" s="487"/>
    </row>
    <row r="643" spans="8:8" ht="9.9499999999999993" customHeight="1">
      <c r="H643" s="487"/>
    </row>
    <row r="644" spans="8:8" ht="9.9499999999999993" customHeight="1">
      <c r="H644" s="487"/>
    </row>
    <row r="645" spans="8:8" ht="9.9499999999999993" customHeight="1">
      <c r="H645" s="487"/>
    </row>
    <row r="646" spans="8:8" ht="9.9499999999999993" customHeight="1">
      <c r="H646" s="487"/>
    </row>
    <row r="647" spans="8:8" ht="9.9499999999999993" customHeight="1">
      <c r="H647" s="487"/>
    </row>
    <row r="648" spans="8:8" ht="9.9499999999999993" customHeight="1">
      <c r="H648" s="487"/>
    </row>
    <row r="649" spans="8:8" ht="9.9499999999999993" customHeight="1">
      <c r="H649" s="487"/>
    </row>
    <row r="650" spans="8:8" ht="9.9499999999999993" customHeight="1">
      <c r="H650" s="487"/>
    </row>
    <row r="651" spans="8:8" ht="9.9499999999999993" customHeight="1">
      <c r="H651" s="487"/>
    </row>
    <row r="652" spans="8:8" ht="9.9499999999999993" customHeight="1">
      <c r="H652" s="487"/>
    </row>
    <row r="653" spans="8:8" ht="9.9499999999999993" customHeight="1">
      <c r="H653" s="487"/>
    </row>
    <row r="654" spans="8:8" ht="9.9499999999999993" customHeight="1">
      <c r="H654" s="487"/>
    </row>
    <row r="655" spans="8:8" ht="9.9499999999999993" customHeight="1">
      <c r="H655" s="487"/>
    </row>
    <row r="656" spans="8:8" ht="9.9499999999999993" customHeight="1">
      <c r="H656" s="487"/>
    </row>
    <row r="657" spans="8:8" ht="9.9499999999999993" customHeight="1">
      <c r="H657" s="487"/>
    </row>
    <row r="658" spans="8:8" ht="9.9499999999999993" customHeight="1">
      <c r="H658" s="487"/>
    </row>
    <row r="659" spans="8:8" ht="9.9499999999999993" customHeight="1">
      <c r="H659" s="487"/>
    </row>
    <row r="660" spans="8:8" ht="9.9499999999999993" customHeight="1">
      <c r="H660" s="487"/>
    </row>
    <row r="661" spans="8:8" ht="9.9499999999999993" customHeight="1">
      <c r="H661" s="487"/>
    </row>
    <row r="662" spans="8:8" ht="9.9499999999999993" customHeight="1">
      <c r="H662" s="487"/>
    </row>
    <row r="663" spans="8:8" ht="9.9499999999999993" customHeight="1">
      <c r="H663" s="487"/>
    </row>
    <row r="664" spans="8:8" ht="9.9499999999999993" customHeight="1">
      <c r="H664" s="487"/>
    </row>
    <row r="665" spans="8:8" ht="9.9499999999999993" customHeight="1">
      <c r="H665" s="487"/>
    </row>
    <row r="666" spans="8:8" ht="9.9499999999999993" customHeight="1">
      <c r="H666" s="487"/>
    </row>
    <row r="667" spans="8:8" ht="9.9499999999999993" customHeight="1">
      <c r="H667" s="487"/>
    </row>
    <row r="668" spans="8:8" ht="9.9499999999999993" customHeight="1">
      <c r="H668" s="487"/>
    </row>
    <row r="669" spans="8:8" ht="9.9499999999999993" customHeight="1">
      <c r="H669" s="487"/>
    </row>
    <row r="670" spans="8:8" ht="9.9499999999999993" customHeight="1">
      <c r="H670" s="487"/>
    </row>
    <row r="671" spans="8:8" ht="9.9499999999999993" customHeight="1">
      <c r="H671" s="487"/>
    </row>
    <row r="672" spans="8:8" ht="9.9499999999999993" customHeight="1">
      <c r="H672" s="487"/>
    </row>
    <row r="673" spans="8:8" ht="9.9499999999999993" customHeight="1">
      <c r="H673" s="487"/>
    </row>
    <row r="674" spans="8:8" ht="9.9499999999999993" customHeight="1">
      <c r="H674" s="487"/>
    </row>
    <row r="675" spans="8:8" ht="9.9499999999999993" customHeight="1">
      <c r="H675" s="487"/>
    </row>
    <row r="676" spans="8:8" ht="9.9499999999999993" customHeight="1">
      <c r="H676" s="487"/>
    </row>
    <row r="677" spans="8:8" ht="9.9499999999999993" customHeight="1">
      <c r="H677" s="487"/>
    </row>
    <row r="678" spans="8:8" ht="9.9499999999999993" customHeight="1">
      <c r="H678" s="487"/>
    </row>
    <row r="679" spans="8:8" ht="9.9499999999999993" customHeight="1">
      <c r="H679" s="487"/>
    </row>
    <row r="680" spans="8:8" ht="9.9499999999999993" customHeight="1">
      <c r="H680" s="487"/>
    </row>
    <row r="681" spans="8:8" ht="9.9499999999999993" customHeight="1">
      <c r="H681" s="487"/>
    </row>
    <row r="682" spans="8:8" ht="9.9499999999999993" customHeight="1">
      <c r="H682" s="487"/>
    </row>
    <row r="683" spans="8:8" ht="9.9499999999999993" customHeight="1">
      <c r="H683" s="487"/>
    </row>
    <row r="684" spans="8:8" ht="9.9499999999999993" customHeight="1">
      <c r="H684" s="487"/>
    </row>
    <row r="685" spans="8:8" ht="9.9499999999999993" customHeight="1">
      <c r="H685" s="487"/>
    </row>
    <row r="686" spans="8:8" ht="9.9499999999999993" customHeight="1">
      <c r="H686" s="487"/>
    </row>
    <row r="687" spans="8:8" ht="9.9499999999999993" customHeight="1">
      <c r="H687" s="487"/>
    </row>
    <row r="688" spans="8:8" ht="9.9499999999999993" customHeight="1">
      <c r="H688" s="487"/>
    </row>
    <row r="689" spans="8:8" ht="9.9499999999999993" customHeight="1">
      <c r="H689" s="487"/>
    </row>
    <row r="690" spans="8:8" ht="9.9499999999999993" customHeight="1">
      <c r="H690" s="487"/>
    </row>
    <row r="691" spans="8:8" ht="9.9499999999999993" customHeight="1">
      <c r="H691" s="487"/>
    </row>
    <row r="692" spans="8:8" ht="9.9499999999999993" customHeight="1">
      <c r="H692" s="487"/>
    </row>
    <row r="693" spans="8:8" ht="9.9499999999999993" customHeight="1">
      <c r="H693" s="487"/>
    </row>
    <row r="694" spans="8:8" ht="9.9499999999999993" customHeight="1">
      <c r="H694" s="487"/>
    </row>
    <row r="695" spans="8:8" ht="9.9499999999999993" customHeight="1">
      <c r="H695" s="487"/>
    </row>
    <row r="696" spans="8:8" ht="9.9499999999999993" customHeight="1">
      <c r="H696" s="487"/>
    </row>
    <row r="697" spans="8:8" ht="9.9499999999999993" customHeight="1">
      <c r="H697" s="487"/>
    </row>
    <row r="698" spans="8:8" ht="9.9499999999999993" customHeight="1">
      <c r="H698" s="487"/>
    </row>
    <row r="699" spans="8:8" ht="9.9499999999999993" customHeight="1">
      <c r="H699" s="487"/>
    </row>
    <row r="700" spans="8:8" ht="9.9499999999999993" customHeight="1">
      <c r="H700" s="487"/>
    </row>
    <row r="701" spans="8:8" ht="9.9499999999999993" customHeight="1">
      <c r="H701" s="487"/>
    </row>
    <row r="702" spans="8:8" ht="9.9499999999999993" customHeight="1">
      <c r="H702" s="487"/>
    </row>
    <row r="703" spans="8:8" ht="9.9499999999999993" customHeight="1">
      <c r="H703" s="487"/>
    </row>
    <row r="704" spans="8:8" ht="9.9499999999999993" customHeight="1">
      <c r="H704" s="487"/>
    </row>
    <row r="705" spans="8:8" ht="9.9499999999999993" customHeight="1">
      <c r="H705" s="487"/>
    </row>
    <row r="706" spans="8:8" ht="9.9499999999999993" customHeight="1">
      <c r="H706" s="487"/>
    </row>
    <row r="707" spans="8:8" ht="9.9499999999999993" customHeight="1">
      <c r="H707" s="487"/>
    </row>
    <row r="708" spans="8:8" ht="9.9499999999999993" customHeight="1">
      <c r="H708" s="487"/>
    </row>
    <row r="709" spans="8:8" ht="9.9499999999999993" customHeight="1">
      <c r="H709" s="487"/>
    </row>
    <row r="710" spans="8:8" ht="9.9499999999999993" customHeight="1">
      <c r="H710" s="487"/>
    </row>
    <row r="711" spans="8:8" ht="9.9499999999999993" customHeight="1">
      <c r="H711" s="487"/>
    </row>
    <row r="712" spans="8:8" ht="9.9499999999999993" customHeight="1">
      <c r="H712" s="487"/>
    </row>
    <row r="713" spans="8:8" ht="9.9499999999999993" customHeight="1">
      <c r="H713" s="487"/>
    </row>
    <row r="714" spans="8:8" ht="9.9499999999999993" customHeight="1">
      <c r="H714" s="487"/>
    </row>
    <row r="715" spans="8:8" ht="9.9499999999999993" customHeight="1">
      <c r="H715" s="487"/>
    </row>
    <row r="716" spans="8:8" ht="9.9499999999999993" customHeight="1">
      <c r="H716" s="487"/>
    </row>
    <row r="717" spans="8:8" ht="9.9499999999999993" customHeight="1">
      <c r="H717" s="487"/>
    </row>
    <row r="718" spans="8:8" ht="9.9499999999999993" customHeight="1">
      <c r="H718" s="487"/>
    </row>
    <row r="719" spans="8:8" ht="9.9499999999999993" customHeight="1">
      <c r="H719" s="487"/>
    </row>
    <row r="720" spans="8:8" ht="9.9499999999999993" customHeight="1">
      <c r="H720" s="487"/>
    </row>
    <row r="721" spans="8:8" ht="9.9499999999999993" customHeight="1">
      <c r="H721" s="487"/>
    </row>
    <row r="722" spans="8:8" ht="9.9499999999999993" customHeight="1">
      <c r="H722" s="487"/>
    </row>
    <row r="723" spans="8:8" ht="9.9499999999999993" customHeight="1">
      <c r="H723" s="487"/>
    </row>
    <row r="724" spans="8:8" ht="9.9499999999999993" customHeight="1">
      <c r="H724" s="487"/>
    </row>
    <row r="725" spans="8:8" ht="9.9499999999999993" customHeight="1">
      <c r="H725" s="487"/>
    </row>
    <row r="726" spans="8:8" ht="9.9499999999999993" customHeight="1">
      <c r="H726" s="487"/>
    </row>
    <row r="727" spans="8:8" ht="9.9499999999999993" customHeight="1">
      <c r="H727" s="487"/>
    </row>
    <row r="728" spans="8:8" ht="9.9499999999999993" customHeight="1">
      <c r="H728" s="487"/>
    </row>
    <row r="729" spans="8:8" ht="9.9499999999999993" customHeight="1">
      <c r="H729" s="487"/>
    </row>
    <row r="730" spans="8:8" ht="9.9499999999999993" customHeight="1">
      <c r="H730" s="487"/>
    </row>
    <row r="731" spans="8:8" ht="9.9499999999999993" customHeight="1">
      <c r="H731" s="487"/>
    </row>
    <row r="732" spans="8:8" ht="9.9499999999999993" customHeight="1">
      <c r="H732" s="487"/>
    </row>
    <row r="733" spans="8:8" ht="9.9499999999999993" customHeight="1">
      <c r="H733" s="487"/>
    </row>
    <row r="734" spans="8:8" ht="9.9499999999999993" customHeight="1">
      <c r="H734" s="487"/>
    </row>
    <row r="735" spans="8:8" ht="9.9499999999999993" customHeight="1">
      <c r="H735" s="487"/>
    </row>
    <row r="736" spans="8:8" ht="9.9499999999999993" customHeight="1">
      <c r="H736" s="487"/>
    </row>
    <row r="737" spans="8:8" ht="9.9499999999999993" customHeight="1">
      <c r="H737" s="487"/>
    </row>
    <row r="738" spans="8:8" ht="9.9499999999999993" customHeight="1">
      <c r="H738" s="487"/>
    </row>
    <row r="739" spans="8:8" ht="9.9499999999999993" customHeight="1">
      <c r="H739" s="487"/>
    </row>
    <row r="740" spans="8:8" ht="9.9499999999999993" customHeight="1">
      <c r="H740" s="487"/>
    </row>
    <row r="741" spans="8:8" ht="9.9499999999999993" customHeight="1">
      <c r="H741" s="487"/>
    </row>
    <row r="742" spans="8:8" ht="9.9499999999999993" customHeight="1">
      <c r="H742" s="487"/>
    </row>
    <row r="743" spans="8:8" ht="9.9499999999999993" customHeight="1">
      <c r="H743" s="487"/>
    </row>
    <row r="744" spans="8:8" ht="9.9499999999999993" customHeight="1">
      <c r="H744" s="487"/>
    </row>
    <row r="745" spans="8:8" ht="9.9499999999999993" customHeight="1">
      <c r="H745" s="487"/>
    </row>
    <row r="746" spans="8:8" ht="9.9499999999999993" customHeight="1">
      <c r="H746" s="487"/>
    </row>
    <row r="747" spans="8:8" ht="9.9499999999999993" customHeight="1">
      <c r="H747" s="487"/>
    </row>
    <row r="748" spans="8:8" ht="9.9499999999999993" customHeight="1">
      <c r="H748" s="487"/>
    </row>
    <row r="749" spans="8:8" ht="9.9499999999999993" customHeight="1">
      <c r="H749" s="487"/>
    </row>
    <row r="750" spans="8:8" ht="9.9499999999999993" customHeight="1">
      <c r="H750" s="487"/>
    </row>
    <row r="751" spans="8:8" ht="9.9499999999999993" customHeight="1">
      <c r="H751" s="487"/>
    </row>
    <row r="752" spans="8:8" ht="9.9499999999999993" customHeight="1">
      <c r="H752" s="487"/>
    </row>
    <row r="753" spans="8:8" ht="9.9499999999999993" customHeight="1">
      <c r="H753" s="487"/>
    </row>
    <row r="754" spans="8:8" ht="9.9499999999999993" customHeight="1">
      <c r="H754" s="487"/>
    </row>
    <row r="755" spans="8:8" ht="9.9499999999999993" customHeight="1">
      <c r="H755" s="487"/>
    </row>
    <row r="756" spans="8:8" ht="9.9499999999999993" customHeight="1">
      <c r="H756" s="487"/>
    </row>
    <row r="757" spans="8:8" ht="9.9499999999999993" customHeight="1">
      <c r="H757" s="487"/>
    </row>
    <row r="758" spans="8:8" ht="9.9499999999999993" customHeight="1">
      <c r="H758" s="487"/>
    </row>
    <row r="759" spans="8:8" ht="9.9499999999999993" customHeight="1">
      <c r="H759" s="487"/>
    </row>
    <row r="760" spans="8:8" ht="9.9499999999999993" customHeight="1">
      <c r="H760" s="487"/>
    </row>
    <row r="761" spans="8:8" ht="9.9499999999999993" customHeight="1">
      <c r="H761" s="487"/>
    </row>
    <row r="762" spans="8:8" ht="9.9499999999999993" customHeight="1">
      <c r="H762" s="487"/>
    </row>
    <row r="763" spans="8:8" ht="9.9499999999999993" customHeight="1">
      <c r="H763" s="487"/>
    </row>
    <row r="764" spans="8:8" ht="9.9499999999999993" customHeight="1">
      <c r="H764" s="487"/>
    </row>
    <row r="765" spans="8:8" ht="9.9499999999999993" customHeight="1">
      <c r="H765" s="487"/>
    </row>
    <row r="766" spans="8:8" ht="9.9499999999999993" customHeight="1">
      <c r="H766" s="487"/>
    </row>
    <row r="767" spans="8:8" ht="9.9499999999999993" customHeight="1">
      <c r="H767" s="487"/>
    </row>
    <row r="768" spans="8:8" ht="9.9499999999999993" customHeight="1">
      <c r="H768" s="487"/>
    </row>
    <row r="769" spans="8:8" ht="9.9499999999999993" customHeight="1">
      <c r="H769" s="487"/>
    </row>
    <row r="770" spans="8:8" ht="9.9499999999999993" customHeight="1">
      <c r="H770" s="487"/>
    </row>
    <row r="771" spans="8:8" ht="9.9499999999999993" customHeight="1">
      <c r="H771" s="487"/>
    </row>
    <row r="772" spans="8:8" ht="9.9499999999999993" customHeight="1">
      <c r="H772" s="487"/>
    </row>
    <row r="773" spans="8:8" ht="9.9499999999999993" customHeight="1">
      <c r="H773" s="487"/>
    </row>
    <row r="774" spans="8:8" ht="9.9499999999999993" customHeight="1">
      <c r="H774" s="487"/>
    </row>
    <row r="775" spans="8:8" ht="9.9499999999999993" customHeight="1">
      <c r="H775" s="487"/>
    </row>
    <row r="776" spans="8:8" ht="9.9499999999999993" customHeight="1">
      <c r="H776" s="487"/>
    </row>
    <row r="777" spans="8:8" ht="9.9499999999999993" customHeight="1">
      <c r="H777" s="487"/>
    </row>
    <row r="778" spans="8:8" ht="9.9499999999999993" customHeight="1">
      <c r="H778" s="487"/>
    </row>
    <row r="779" spans="8:8" ht="9.9499999999999993" customHeight="1">
      <c r="H779" s="487"/>
    </row>
    <row r="780" spans="8:8" ht="9.9499999999999993" customHeight="1">
      <c r="H780" s="487"/>
    </row>
    <row r="781" spans="8:8" ht="9.9499999999999993" customHeight="1">
      <c r="H781" s="487"/>
    </row>
    <row r="782" spans="8:8" ht="9.9499999999999993" customHeight="1">
      <c r="H782" s="487"/>
    </row>
    <row r="783" spans="8:8" ht="9.9499999999999993" customHeight="1">
      <c r="H783" s="487"/>
    </row>
    <row r="784" spans="8:8" ht="9.9499999999999993" customHeight="1">
      <c r="H784" s="487"/>
    </row>
    <row r="785" spans="8:8" ht="9.9499999999999993" customHeight="1">
      <c r="H785" s="487"/>
    </row>
    <row r="786" spans="8:8" ht="9.9499999999999993" customHeight="1">
      <c r="H786" s="487"/>
    </row>
    <row r="787" spans="8:8" ht="9.9499999999999993" customHeight="1">
      <c r="H787" s="487"/>
    </row>
    <row r="788" spans="8:8" ht="9.9499999999999993" customHeight="1">
      <c r="H788" s="487"/>
    </row>
    <row r="789" spans="8:8" ht="9.9499999999999993" customHeight="1">
      <c r="H789" s="487"/>
    </row>
    <row r="790" spans="8:8" ht="9.9499999999999993" customHeight="1">
      <c r="H790" s="487"/>
    </row>
    <row r="791" spans="8:8" ht="9.9499999999999993" customHeight="1">
      <c r="H791" s="487"/>
    </row>
    <row r="792" spans="8:8" ht="9.9499999999999993" customHeight="1">
      <c r="H792" s="487"/>
    </row>
    <row r="793" spans="8:8" ht="9.9499999999999993" customHeight="1">
      <c r="H793" s="487"/>
    </row>
    <row r="794" spans="8:8" ht="9.9499999999999993" customHeight="1">
      <c r="H794" s="487"/>
    </row>
    <row r="795" spans="8:8" ht="9.9499999999999993" customHeight="1">
      <c r="H795" s="487"/>
    </row>
    <row r="796" spans="8:8" ht="9.9499999999999993" customHeight="1">
      <c r="H796" s="487"/>
    </row>
    <row r="797" spans="8:8" ht="9.9499999999999993" customHeight="1">
      <c r="H797" s="487"/>
    </row>
    <row r="798" spans="8:8" ht="9.9499999999999993" customHeight="1">
      <c r="H798" s="487"/>
    </row>
    <row r="799" spans="8:8" ht="9.9499999999999993" customHeight="1">
      <c r="H799" s="487"/>
    </row>
    <row r="800" spans="8:8" ht="9.9499999999999993" customHeight="1">
      <c r="H800" s="487"/>
    </row>
    <row r="801" spans="8:8" ht="9.9499999999999993" customHeight="1">
      <c r="H801" s="487"/>
    </row>
    <row r="802" spans="8:8" ht="9.9499999999999993" customHeight="1">
      <c r="H802" s="487"/>
    </row>
    <row r="803" spans="8:8" ht="9.9499999999999993" customHeight="1">
      <c r="H803" s="487"/>
    </row>
    <row r="804" spans="8:8" ht="9.9499999999999993" customHeight="1">
      <c r="H804" s="487"/>
    </row>
    <row r="805" spans="8:8" ht="9.9499999999999993" customHeight="1">
      <c r="H805" s="487"/>
    </row>
    <row r="806" spans="8:8" ht="9.9499999999999993" customHeight="1">
      <c r="H806" s="487"/>
    </row>
    <row r="807" spans="8:8" ht="9.9499999999999993" customHeight="1">
      <c r="H807" s="487"/>
    </row>
    <row r="808" spans="8:8" ht="9.9499999999999993" customHeight="1">
      <c r="H808" s="487"/>
    </row>
    <row r="809" spans="8:8" ht="9.9499999999999993" customHeight="1">
      <c r="H809" s="487"/>
    </row>
    <row r="810" spans="8:8" ht="9.9499999999999993" customHeight="1">
      <c r="H810" s="487"/>
    </row>
    <row r="811" spans="8:8" ht="9.9499999999999993" customHeight="1">
      <c r="H811" s="487"/>
    </row>
    <row r="812" spans="8:8" ht="9.9499999999999993" customHeight="1">
      <c r="H812" s="487"/>
    </row>
    <row r="813" spans="8:8" ht="9.9499999999999993" customHeight="1">
      <c r="H813" s="487"/>
    </row>
    <row r="814" spans="8:8" ht="9.9499999999999993" customHeight="1">
      <c r="H814" s="487"/>
    </row>
    <row r="815" spans="8:8" ht="9.9499999999999993" customHeight="1">
      <c r="H815" s="487"/>
    </row>
    <row r="816" spans="8:8" ht="9.9499999999999993" customHeight="1">
      <c r="H816" s="487"/>
    </row>
    <row r="817" spans="8:8" ht="9.9499999999999993" customHeight="1">
      <c r="H817" s="487"/>
    </row>
    <row r="818" spans="8:8" ht="9.9499999999999993" customHeight="1">
      <c r="H818" s="487"/>
    </row>
    <row r="819" spans="8:8" ht="9.9499999999999993" customHeight="1">
      <c r="H819" s="487"/>
    </row>
    <row r="820" spans="8:8" ht="9.9499999999999993" customHeight="1">
      <c r="H820" s="487"/>
    </row>
    <row r="821" spans="8:8" ht="9.9499999999999993" customHeight="1">
      <c r="H821" s="487"/>
    </row>
    <row r="822" spans="8:8" ht="9.9499999999999993" customHeight="1">
      <c r="H822" s="487"/>
    </row>
    <row r="823" spans="8:8" ht="9.9499999999999993" customHeight="1">
      <c r="H823" s="487"/>
    </row>
    <row r="824" spans="8:8" ht="9.9499999999999993" customHeight="1">
      <c r="H824" s="487"/>
    </row>
    <row r="825" spans="8:8" ht="9.9499999999999993" customHeight="1">
      <c r="H825" s="487"/>
    </row>
    <row r="826" spans="8:8" ht="9.9499999999999993" customHeight="1">
      <c r="H826" s="487"/>
    </row>
    <row r="827" spans="8:8" ht="9.9499999999999993" customHeight="1">
      <c r="H827" s="487"/>
    </row>
    <row r="828" spans="8:8" ht="9.9499999999999993" customHeight="1">
      <c r="H828" s="487"/>
    </row>
    <row r="829" spans="8:8" ht="9.9499999999999993" customHeight="1">
      <c r="H829" s="487"/>
    </row>
    <row r="830" spans="8:8" ht="9.9499999999999993" customHeight="1">
      <c r="H830" s="487"/>
    </row>
    <row r="831" spans="8:8" ht="9.9499999999999993" customHeight="1">
      <c r="H831" s="487"/>
    </row>
    <row r="832" spans="8:8" ht="9.9499999999999993" customHeight="1">
      <c r="H832" s="487"/>
    </row>
    <row r="833" spans="8:8" ht="9.9499999999999993" customHeight="1">
      <c r="H833" s="487"/>
    </row>
    <row r="834" spans="8:8" ht="9.9499999999999993" customHeight="1">
      <c r="H834" s="487"/>
    </row>
    <row r="835" spans="8:8" ht="9.9499999999999993" customHeight="1">
      <c r="H835" s="487"/>
    </row>
    <row r="836" spans="8:8" ht="9.9499999999999993" customHeight="1">
      <c r="H836" s="487"/>
    </row>
    <row r="837" spans="8:8" ht="9.9499999999999993" customHeight="1">
      <c r="H837" s="487"/>
    </row>
    <row r="838" spans="8:8" ht="9.9499999999999993" customHeight="1">
      <c r="H838" s="487"/>
    </row>
    <row r="839" spans="8:8" ht="9.9499999999999993" customHeight="1">
      <c r="H839" s="487"/>
    </row>
    <row r="840" spans="8:8" ht="9.9499999999999993" customHeight="1">
      <c r="H840" s="487"/>
    </row>
    <row r="841" spans="8:8" ht="9.9499999999999993" customHeight="1">
      <c r="H841" s="487"/>
    </row>
    <row r="842" spans="8:8" ht="9.9499999999999993" customHeight="1">
      <c r="H842" s="487"/>
    </row>
    <row r="843" spans="8:8" ht="9.9499999999999993" customHeight="1">
      <c r="H843" s="487"/>
    </row>
    <row r="844" spans="8:8" ht="9.9499999999999993" customHeight="1">
      <c r="H844" s="487"/>
    </row>
    <row r="845" spans="8:8" ht="9.9499999999999993" customHeight="1">
      <c r="H845" s="487"/>
    </row>
    <row r="846" spans="8:8" ht="9.9499999999999993" customHeight="1">
      <c r="H846" s="487"/>
    </row>
    <row r="847" spans="8:8" ht="9.9499999999999993" customHeight="1">
      <c r="H847" s="487"/>
    </row>
    <row r="848" spans="8:8" ht="9.9499999999999993" customHeight="1">
      <c r="H848" s="487"/>
    </row>
    <row r="849" spans="8:8" ht="9.9499999999999993" customHeight="1">
      <c r="H849" s="487"/>
    </row>
    <row r="850" spans="8:8" ht="9.9499999999999993" customHeight="1">
      <c r="H850" s="487"/>
    </row>
    <row r="851" spans="8:8" ht="9.9499999999999993" customHeight="1">
      <c r="H851" s="487"/>
    </row>
    <row r="852" spans="8:8" ht="9.9499999999999993" customHeight="1">
      <c r="H852" s="487"/>
    </row>
    <row r="853" spans="8:8" ht="9.9499999999999993" customHeight="1">
      <c r="H853" s="487"/>
    </row>
    <row r="854" spans="8:8" ht="9.9499999999999993" customHeight="1">
      <c r="H854" s="487"/>
    </row>
    <row r="855" spans="8:8" ht="9.9499999999999993" customHeight="1">
      <c r="H855" s="487"/>
    </row>
    <row r="856" spans="8:8" ht="9.9499999999999993" customHeight="1">
      <c r="H856" s="487"/>
    </row>
    <row r="857" spans="8:8" ht="9.9499999999999993" customHeight="1">
      <c r="H857" s="487"/>
    </row>
    <row r="858" spans="8:8" ht="9.9499999999999993" customHeight="1">
      <c r="H858" s="487"/>
    </row>
    <row r="859" spans="8:8" ht="9.9499999999999993" customHeight="1">
      <c r="H859" s="487"/>
    </row>
    <row r="860" spans="8:8" ht="9.9499999999999993" customHeight="1">
      <c r="H860" s="487"/>
    </row>
    <row r="861" spans="8:8" ht="9.9499999999999993" customHeight="1">
      <c r="H861" s="487"/>
    </row>
    <row r="862" spans="8:8" ht="9.9499999999999993" customHeight="1">
      <c r="H862" s="487"/>
    </row>
    <row r="863" spans="8:8" ht="9.9499999999999993" customHeight="1">
      <c r="H863" s="487"/>
    </row>
    <row r="864" spans="8:8" ht="9.9499999999999993" customHeight="1">
      <c r="H864" s="487"/>
    </row>
    <row r="865" spans="8:8" ht="9.9499999999999993" customHeight="1">
      <c r="H865" s="487"/>
    </row>
    <row r="866" spans="8:8" ht="9.9499999999999993" customHeight="1">
      <c r="H866" s="487"/>
    </row>
    <row r="867" spans="8:8" ht="9.9499999999999993" customHeight="1">
      <c r="H867" s="487"/>
    </row>
    <row r="868" spans="8:8" ht="9.9499999999999993" customHeight="1">
      <c r="H868" s="487"/>
    </row>
    <row r="869" spans="8:8" ht="9.9499999999999993" customHeight="1">
      <c r="H869" s="487"/>
    </row>
    <row r="870" spans="8:8" ht="9.9499999999999993" customHeight="1">
      <c r="H870" s="487"/>
    </row>
    <row r="871" spans="8:8" ht="9.9499999999999993" customHeight="1">
      <c r="H871" s="487"/>
    </row>
    <row r="872" spans="8:8" ht="9.9499999999999993" customHeight="1">
      <c r="H872" s="487"/>
    </row>
    <row r="873" spans="8:8" ht="9.9499999999999993" customHeight="1">
      <c r="H873" s="487"/>
    </row>
    <row r="874" spans="8:8" ht="9.9499999999999993" customHeight="1">
      <c r="H874" s="487"/>
    </row>
    <row r="875" spans="8:8" ht="9.9499999999999993" customHeight="1">
      <c r="H875" s="487"/>
    </row>
    <row r="876" spans="8:8" ht="9.9499999999999993" customHeight="1">
      <c r="H876" s="487"/>
    </row>
    <row r="877" spans="8:8" ht="9.9499999999999993" customHeight="1">
      <c r="H877" s="487"/>
    </row>
    <row r="878" spans="8:8" ht="9.9499999999999993" customHeight="1">
      <c r="H878" s="487"/>
    </row>
    <row r="879" spans="8:8" ht="9.9499999999999993" customHeight="1">
      <c r="H879" s="487"/>
    </row>
    <row r="880" spans="8:8" ht="9.9499999999999993" customHeight="1">
      <c r="H880" s="487"/>
    </row>
    <row r="881" spans="8:8" ht="9.9499999999999993" customHeight="1">
      <c r="H881" s="487"/>
    </row>
    <row r="882" spans="8:8" ht="9.9499999999999993" customHeight="1">
      <c r="H882" s="487"/>
    </row>
    <row r="883" spans="8:8" ht="9.9499999999999993" customHeight="1">
      <c r="H883" s="487"/>
    </row>
    <row r="884" spans="8:8" ht="9.9499999999999993" customHeight="1">
      <c r="H884" s="487"/>
    </row>
    <row r="885" spans="8:8" ht="9.9499999999999993" customHeight="1">
      <c r="H885" s="487"/>
    </row>
    <row r="886" spans="8:8" ht="9.9499999999999993" customHeight="1">
      <c r="H886" s="487"/>
    </row>
    <row r="887" spans="8:8" ht="9.9499999999999993" customHeight="1">
      <c r="H887" s="487"/>
    </row>
    <row r="888" spans="8:8" ht="9.9499999999999993" customHeight="1">
      <c r="H888" s="487"/>
    </row>
    <row r="889" spans="8:8" ht="9.9499999999999993" customHeight="1">
      <c r="H889" s="487"/>
    </row>
    <row r="890" spans="8:8" ht="9.9499999999999993" customHeight="1">
      <c r="H890" s="487"/>
    </row>
    <row r="891" spans="8:8" ht="9.9499999999999993" customHeight="1">
      <c r="H891" s="487"/>
    </row>
    <row r="892" spans="8:8" ht="9.9499999999999993" customHeight="1">
      <c r="H892" s="487"/>
    </row>
    <row r="893" spans="8:8" ht="9.9499999999999993" customHeight="1">
      <c r="H893" s="487"/>
    </row>
    <row r="894" spans="8:8" ht="9.9499999999999993" customHeight="1">
      <c r="H894" s="487"/>
    </row>
    <row r="895" spans="8:8" ht="9.9499999999999993" customHeight="1">
      <c r="H895" s="487"/>
    </row>
    <row r="896" spans="8:8" ht="9.9499999999999993" customHeight="1">
      <c r="H896" s="487"/>
    </row>
    <row r="897" spans="8:8" ht="9.9499999999999993" customHeight="1">
      <c r="H897" s="487"/>
    </row>
    <row r="898" spans="8:8" ht="9.9499999999999993" customHeight="1">
      <c r="H898" s="487"/>
    </row>
    <row r="899" spans="8:8" ht="9.9499999999999993" customHeight="1">
      <c r="H899" s="487"/>
    </row>
    <row r="900" spans="8:8" ht="9.9499999999999993" customHeight="1">
      <c r="H900" s="487"/>
    </row>
    <row r="901" spans="8:8" ht="9.9499999999999993" customHeight="1">
      <c r="H901" s="487"/>
    </row>
    <row r="902" spans="8:8" ht="9.9499999999999993" customHeight="1">
      <c r="H902" s="487"/>
    </row>
    <row r="903" spans="8:8" ht="9.9499999999999993" customHeight="1">
      <c r="H903" s="487"/>
    </row>
    <row r="904" spans="8:8" ht="9.9499999999999993" customHeight="1">
      <c r="H904" s="487"/>
    </row>
    <row r="905" spans="8:8" ht="9.9499999999999993" customHeight="1">
      <c r="H905" s="487"/>
    </row>
    <row r="906" spans="8:8" ht="9.9499999999999993" customHeight="1">
      <c r="H906" s="487"/>
    </row>
    <row r="907" spans="8:8" ht="9.9499999999999993" customHeight="1">
      <c r="H907" s="487"/>
    </row>
    <row r="908" spans="8:8" ht="9.9499999999999993" customHeight="1">
      <c r="H908" s="487"/>
    </row>
    <row r="909" spans="8:8" ht="9.9499999999999993" customHeight="1">
      <c r="H909" s="487"/>
    </row>
    <row r="910" spans="8:8" ht="9.9499999999999993" customHeight="1">
      <c r="H910" s="487"/>
    </row>
    <row r="911" spans="8:8" ht="9.9499999999999993" customHeight="1">
      <c r="H911" s="487"/>
    </row>
    <row r="912" spans="8:8" ht="9.9499999999999993" customHeight="1">
      <c r="H912" s="487"/>
    </row>
    <row r="913" spans="8:8" ht="9.9499999999999993" customHeight="1">
      <c r="H913" s="487"/>
    </row>
    <row r="914" spans="8:8" ht="9.9499999999999993" customHeight="1">
      <c r="H914" s="487"/>
    </row>
    <row r="915" spans="8:8" ht="9.9499999999999993" customHeight="1">
      <c r="H915" s="487"/>
    </row>
    <row r="916" spans="8:8" ht="9.9499999999999993" customHeight="1">
      <c r="H916" s="487"/>
    </row>
    <row r="917" spans="8:8" ht="9.9499999999999993" customHeight="1">
      <c r="H917" s="487"/>
    </row>
    <row r="918" spans="8:8" ht="9.9499999999999993" customHeight="1">
      <c r="H918" s="487"/>
    </row>
    <row r="919" spans="8:8" ht="9.9499999999999993" customHeight="1">
      <c r="H919" s="487"/>
    </row>
    <row r="920" spans="8:8" ht="9.9499999999999993" customHeight="1">
      <c r="H920" s="487"/>
    </row>
    <row r="921" spans="8:8" ht="9.9499999999999993" customHeight="1">
      <c r="H921" s="487"/>
    </row>
    <row r="922" spans="8:8" ht="9.9499999999999993" customHeight="1">
      <c r="H922" s="487"/>
    </row>
    <row r="923" spans="8:8" ht="9.9499999999999993" customHeight="1">
      <c r="H923" s="487"/>
    </row>
    <row r="924" spans="8:8" ht="9.9499999999999993" customHeight="1">
      <c r="H924" s="487"/>
    </row>
    <row r="925" spans="8:8" ht="9.9499999999999993" customHeight="1">
      <c r="H925" s="487"/>
    </row>
    <row r="926" spans="8:8" ht="9.9499999999999993" customHeight="1">
      <c r="H926" s="487"/>
    </row>
    <row r="927" spans="8:8" ht="9.9499999999999993" customHeight="1">
      <c r="H927" s="487"/>
    </row>
    <row r="928" spans="8:8" ht="9.9499999999999993" customHeight="1">
      <c r="H928" s="487"/>
    </row>
    <row r="929" spans="8:8" ht="9.9499999999999993" customHeight="1">
      <c r="H929" s="487"/>
    </row>
    <row r="930" spans="8:8" ht="9.9499999999999993" customHeight="1">
      <c r="H930" s="487"/>
    </row>
    <row r="931" spans="8:8" ht="9.9499999999999993" customHeight="1">
      <c r="H931" s="487"/>
    </row>
    <row r="932" spans="8:8" ht="9.9499999999999993" customHeight="1">
      <c r="H932" s="487"/>
    </row>
    <row r="933" spans="8:8" ht="9.9499999999999993" customHeight="1">
      <c r="H933" s="487"/>
    </row>
    <row r="934" spans="8:8" ht="9.9499999999999993" customHeight="1">
      <c r="H934" s="487"/>
    </row>
    <row r="935" spans="8:8" ht="9.9499999999999993" customHeight="1">
      <c r="H935" s="487"/>
    </row>
    <row r="936" spans="8:8" ht="9.9499999999999993" customHeight="1">
      <c r="H936" s="487"/>
    </row>
    <row r="937" spans="8:8" ht="9.9499999999999993" customHeight="1">
      <c r="H937" s="487"/>
    </row>
    <row r="938" spans="8:8" ht="9.9499999999999993" customHeight="1">
      <c r="H938" s="487"/>
    </row>
    <row r="939" spans="8:8" ht="9.9499999999999993" customHeight="1">
      <c r="H939" s="487"/>
    </row>
    <row r="940" spans="8:8" ht="9.9499999999999993" customHeight="1">
      <c r="H940" s="487"/>
    </row>
    <row r="941" spans="8:8" ht="9.9499999999999993" customHeight="1">
      <c r="H941" s="487"/>
    </row>
    <row r="942" spans="8:8" ht="9.9499999999999993" customHeight="1">
      <c r="H942" s="487"/>
    </row>
    <row r="943" spans="8:8" ht="9.9499999999999993" customHeight="1">
      <c r="H943" s="487"/>
    </row>
    <row r="944" spans="8:8" ht="9.9499999999999993" customHeight="1">
      <c r="H944" s="487"/>
    </row>
    <row r="945" spans="8:8" ht="9.9499999999999993" customHeight="1">
      <c r="H945" s="487"/>
    </row>
    <row r="946" spans="8:8" ht="9.9499999999999993" customHeight="1">
      <c r="H946" s="487"/>
    </row>
    <row r="947" spans="8:8" ht="9.9499999999999993" customHeight="1">
      <c r="H947" s="487"/>
    </row>
    <row r="948" spans="8:8" ht="9.9499999999999993" customHeight="1">
      <c r="H948" s="487"/>
    </row>
    <row r="949" spans="8:8" ht="9.9499999999999993" customHeight="1">
      <c r="H949" s="487"/>
    </row>
    <row r="950" spans="8:8" ht="9.9499999999999993" customHeight="1">
      <c r="H950" s="487"/>
    </row>
    <row r="951" spans="8:8" ht="9.9499999999999993" customHeight="1">
      <c r="H951" s="487"/>
    </row>
    <row r="952" spans="8:8" ht="9.9499999999999993" customHeight="1">
      <c r="H952" s="487"/>
    </row>
    <row r="953" spans="8:8" ht="9.9499999999999993" customHeight="1">
      <c r="H953" s="487"/>
    </row>
    <row r="954" spans="8:8" ht="9.9499999999999993" customHeight="1">
      <c r="H954" s="487"/>
    </row>
    <row r="955" spans="8:8" ht="9.9499999999999993" customHeight="1">
      <c r="H955" s="487"/>
    </row>
    <row r="956" spans="8:8" ht="9.9499999999999993" customHeight="1">
      <c r="H956" s="487"/>
    </row>
    <row r="957" spans="8:8" ht="9.9499999999999993" customHeight="1">
      <c r="H957" s="487"/>
    </row>
    <row r="958" spans="8:8" ht="9.9499999999999993" customHeight="1">
      <c r="H958" s="487"/>
    </row>
    <row r="959" spans="8:8" ht="9.9499999999999993" customHeight="1">
      <c r="H959" s="487"/>
    </row>
    <row r="960" spans="8:8" ht="9.9499999999999993" customHeight="1">
      <c r="H960" s="487"/>
    </row>
    <row r="961" spans="8:8" ht="9.9499999999999993" customHeight="1">
      <c r="H961" s="487"/>
    </row>
    <row r="962" spans="8:8" ht="9.9499999999999993" customHeight="1">
      <c r="H962" s="487"/>
    </row>
    <row r="963" spans="8:8" ht="9.9499999999999993" customHeight="1">
      <c r="H963" s="487"/>
    </row>
    <row r="964" spans="8:8" ht="9.9499999999999993" customHeight="1">
      <c r="H964" s="487"/>
    </row>
    <row r="965" spans="8:8" ht="9.9499999999999993" customHeight="1">
      <c r="H965" s="487"/>
    </row>
    <row r="966" spans="8:8" ht="9.9499999999999993" customHeight="1">
      <c r="H966" s="487"/>
    </row>
    <row r="967" spans="8:8" ht="9.9499999999999993" customHeight="1">
      <c r="H967" s="487"/>
    </row>
    <row r="968" spans="8:8" ht="9.9499999999999993" customHeight="1">
      <c r="H968" s="487"/>
    </row>
    <row r="969" spans="8:8" ht="9.9499999999999993" customHeight="1">
      <c r="H969" s="487"/>
    </row>
    <row r="970" spans="8:8" ht="9.9499999999999993" customHeight="1">
      <c r="H970" s="487"/>
    </row>
    <row r="971" spans="8:8" ht="9.9499999999999993" customHeight="1">
      <c r="H971" s="487"/>
    </row>
    <row r="972" spans="8:8" ht="9.9499999999999993" customHeight="1">
      <c r="H972" s="487"/>
    </row>
    <row r="973" spans="8:8" ht="9.9499999999999993" customHeight="1">
      <c r="H973" s="487"/>
    </row>
    <row r="974" spans="8:8" ht="9.9499999999999993" customHeight="1">
      <c r="H974" s="487"/>
    </row>
    <row r="975" spans="8:8" ht="9.9499999999999993" customHeight="1">
      <c r="H975" s="487"/>
    </row>
    <row r="976" spans="8:8" ht="9.9499999999999993" customHeight="1">
      <c r="H976" s="487"/>
    </row>
    <row r="977" spans="8:8" ht="9.9499999999999993" customHeight="1">
      <c r="H977" s="487"/>
    </row>
    <row r="978" spans="8:8" ht="9.9499999999999993" customHeight="1">
      <c r="H978" s="487"/>
    </row>
    <row r="979" spans="8:8" ht="9.9499999999999993" customHeight="1">
      <c r="H979" s="487"/>
    </row>
    <row r="980" spans="8:8" ht="9.9499999999999993" customHeight="1">
      <c r="H980" s="487"/>
    </row>
    <row r="981" spans="8:8" ht="9.9499999999999993" customHeight="1">
      <c r="H981" s="487"/>
    </row>
    <row r="982" spans="8:8" ht="9.9499999999999993" customHeight="1">
      <c r="H982" s="487"/>
    </row>
    <row r="983" spans="8:8" ht="9.9499999999999993" customHeight="1">
      <c r="H983" s="487"/>
    </row>
    <row r="984" spans="8:8" ht="9.9499999999999993" customHeight="1">
      <c r="H984" s="487"/>
    </row>
    <row r="985" spans="8:8" ht="9.9499999999999993" customHeight="1">
      <c r="H985" s="487"/>
    </row>
    <row r="986" spans="8:8" ht="9.9499999999999993" customHeight="1">
      <c r="H986" s="487"/>
    </row>
    <row r="987" spans="8:8" ht="9.9499999999999993" customHeight="1">
      <c r="H987" s="487"/>
    </row>
    <row r="988" spans="8:8" ht="9.9499999999999993" customHeight="1">
      <c r="H988" s="487"/>
    </row>
    <row r="989" spans="8:8" ht="9.9499999999999993" customHeight="1">
      <c r="H989" s="487"/>
    </row>
    <row r="990" spans="8:8" ht="9.9499999999999993" customHeight="1">
      <c r="H990" s="487"/>
    </row>
    <row r="991" spans="8:8" ht="9.9499999999999993" customHeight="1">
      <c r="H991" s="487"/>
    </row>
    <row r="992" spans="8:8" ht="9.9499999999999993" customHeight="1">
      <c r="H992" s="487"/>
    </row>
    <row r="993" spans="8:8" ht="9.9499999999999993" customHeight="1">
      <c r="H993" s="487"/>
    </row>
    <row r="994" spans="8:8" ht="9.9499999999999993" customHeight="1">
      <c r="H994" s="487"/>
    </row>
    <row r="995" spans="8:8" ht="9.9499999999999993" customHeight="1">
      <c r="H995" s="487"/>
    </row>
    <row r="996" spans="8:8" ht="9.9499999999999993" customHeight="1">
      <c r="H996" s="487"/>
    </row>
    <row r="997" spans="8:8" ht="9.9499999999999993" customHeight="1">
      <c r="H997" s="487"/>
    </row>
    <row r="998" spans="8:8" ht="9.9499999999999993" customHeight="1">
      <c r="H998" s="487"/>
    </row>
    <row r="999" spans="8:8" ht="9.9499999999999993" customHeight="1">
      <c r="H999" s="487"/>
    </row>
    <row r="1000" spans="8:8" ht="9.9499999999999993" customHeight="1">
      <c r="H1000" s="487"/>
    </row>
    <row r="1001" spans="8:8" ht="9.9499999999999993" customHeight="1">
      <c r="H1001" s="487"/>
    </row>
    <row r="1002" spans="8:8" ht="9.9499999999999993" customHeight="1">
      <c r="H1002" s="487"/>
    </row>
    <row r="1003" spans="8:8" ht="9.9499999999999993" customHeight="1">
      <c r="H1003" s="487"/>
    </row>
    <row r="1004" spans="8:8" ht="9.9499999999999993" customHeight="1">
      <c r="H1004" s="487"/>
    </row>
    <row r="1005" spans="8:8" ht="9.9499999999999993" customHeight="1">
      <c r="H1005" s="487"/>
    </row>
    <row r="1006" spans="8:8" ht="9.9499999999999993" customHeight="1">
      <c r="H1006" s="487"/>
    </row>
    <row r="1007" spans="8:8" ht="9.9499999999999993" customHeight="1">
      <c r="H1007" s="487"/>
    </row>
    <row r="1008" spans="8:8" ht="9.9499999999999993" customHeight="1">
      <c r="H1008" s="487"/>
    </row>
    <row r="1009" spans="8:8" ht="9.9499999999999993" customHeight="1">
      <c r="H1009" s="487"/>
    </row>
    <row r="1010" spans="8:8" ht="9.9499999999999993" customHeight="1">
      <c r="H1010" s="487"/>
    </row>
    <row r="1011" spans="8:8" ht="9.9499999999999993" customHeight="1">
      <c r="H1011" s="487"/>
    </row>
    <row r="1012" spans="8:8" ht="9.9499999999999993" customHeight="1">
      <c r="H1012" s="487"/>
    </row>
    <row r="1013" spans="8:8" ht="9.9499999999999993" customHeight="1">
      <c r="H1013" s="487"/>
    </row>
    <row r="1014" spans="8:8" ht="9.9499999999999993" customHeight="1">
      <c r="H1014" s="487"/>
    </row>
    <row r="1015" spans="8:8" ht="9.9499999999999993" customHeight="1">
      <c r="H1015" s="487"/>
    </row>
    <row r="1016" spans="8:8" ht="9.9499999999999993" customHeight="1">
      <c r="H1016" s="487"/>
    </row>
    <row r="1017" spans="8:8" ht="9.9499999999999993" customHeight="1">
      <c r="H1017" s="487"/>
    </row>
    <row r="1018" spans="8:8" ht="9.9499999999999993" customHeight="1">
      <c r="H1018" s="487"/>
    </row>
    <row r="1019" spans="8:8" ht="9.9499999999999993" customHeight="1">
      <c r="H1019" s="487"/>
    </row>
    <row r="1020" spans="8:8" ht="9.9499999999999993" customHeight="1">
      <c r="H1020" s="487"/>
    </row>
    <row r="1021" spans="8:8" ht="9.9499999999999993" customHeight="1">
      <c r="H1021" s="487"/>
    </row>
    <row r="1022" spans="8:8" ht="9.9499999999999993" customHeight="1">
      <c r="H1022" s="487"/>
    </row>
    <row r="1023" spans="8:8" ht="9.9499999999999993" customHeight="1">
      <c r="H1023" s="487"/>
    </row>
    <row r="1024" spans="8:8" ht="9.9499999999999993" customHeight="1">
      <c r="H1024" s="487"/>
    </row>
    <row r="1025" spans="8:8" ht="9.9499999999999993" customHeight="1">
      <c r="H1025" s="487"/>
    </row>
    <row r="1026" spans="8:8" ht="9.9499999999999993" customHeight="1">
      <c r="H1026" s="487"/>
    </row>
    <row r="1027" spans="8:8" ht="9.9499999999999993" customHeight="1">
      <c r="H1027" s="487"/>
    </row>
    <row r="1028" spans="8:8" ht="9.9499999999999993" customHeight="1">
      <c r="H1028" s="487"/>
    </row>
    <row r="1029" spans="8:8" ht="9.9499999999999993" customHeight="1">
      <c r="H1029" s="487"/>
    </row>
    <row r="1030" spans="8:8" ht="9.9499999999999993" customHeight="1">
      <c r="H1030" s="487"/>
    </row>
    <row r="1031" spans="8:8" ht="9.9499999999999993" customHeight="1">
      <c r="H1031" s="487"/>
    </row>
    <row r="1032" spans="8:8" ht="9.9499999999999993" customHeight="1">
      <c r="H1032" s="487"/>
    </row>
    <row r="1033" spans="8:8" ht="9.9499999999999993" customHeight="1">
      <c r="H1033" s="487"/>
    </row>
    <row r="1034" spans="8:8" ht="9.9499999999999993" customHeight="1">
      <c r="H1034" s="487"/>
    </row>
    <row r="1035" spans="8:8" ht="9.9499999999999993" customHeight="1">
      <c r="H1035" s="487"/>
    </row>
    <row r="1036" spans="8:8" ht="9.9499999999999993" customHeight="1">
      <c r="H1036" s="487"/>
    </row>
    <row r="1037" spans="8:8" ht="9.9499999999999993" customHeight="1">
      <c r="H1037" s="487"/>
    </row>
    <row r="1038" spans="8:8" ht="9.9499999999999993" customHeight="1">
      <c r="H1038" s="487"/>
    </row>
    <row r="1039" spans="8:8" ht="9.9499999999999993" customHeight="1">
      <c r="H1039" s="487"/>
    </row>
    <row r="1040" spans="8:8" ht="9.9499999999999993" customHeight="1">
      <c r="H1040" s="487"/>
    </row>
    <row r="1041" spans="8:8" ht="9.9499999999999993" customHeight="1">
      <c r="H1041" s="487"/>
    </row>
    <row r="1042" spans="8:8" ht="9.9499999999999993" customHeight="1">
      <c r="H1042" s="487"/>
    </row>
    <row r="1043" spans="8:8" ht="9.9499999999999993" customHeight="1">
      <c r="H1043" s="487"/>
    </row>
    <row r="1044" spans="8:8" ht="9.9499999999999993" customHeight="1">
      <c r="H1044" s="487"/>
    </row>
    <row r="1045" spans="8:8" ht="9.9499999999999993" customHeight="1">
      <c r="H1045" s="487"/>
    </row>
    <row r="1046" spans="8:8" ht="9.9499999999999993" customHeight="1">
      <c r="H1046" s="487"/>
    </row>
    <row r="1047" spans="8:8" ht="9.9499999999999993" customHeight="1">
      <c r="H1047" s="487"/>
    </row>
    <row r="1048" spans="8:8" ht="9.9499999999999993" customHeight="1">
      <c r="H1048" s="487"/>
    </row>
    <row r="1049" spans="8:8" ht="9.9499999999999993" customHeight="1">
      <c r="H1049" s="487"/>
    </row>
    <row r="1050" spans="8:8" ht="9.9499999999999993" customHeight="1">
      <c r="H1050" s="487"/>
    </row>
    <row r="1051" spans="8:8" ht="9.9499999999999993" customHeight="1">
      <c r="H1051" s="487"/>
    </row>
    <row r="1052" spans="8:8" ht="9.9499999999999993" customHeight="1">
      <c r="H1052" s="487"/>
    </row>
    <row r="1053" spans="8:8" ht="9.9499999999999993" customHeight="1">
      <c r="H1053" s="487"/>
    </row>
    <row r="1054" spans="8:8" ht="9.9499999999999993" customHeight="1">
      <c r="H1054" s="487"/>
    </row>
    <row r="1055" spans="8:8" ht="9.9499999999999993" customHeight="1">
      <c r="H1055" s="487"/>
    </row>
    <row r="1056" spans="8:8" ht="9.9499999999999993" customHeight="1">
      <c r="H1056" s="487"/>
    </row>
    <row r="1057" spans="8:8" ht="9.9499999999999993" customHeight="1">
      <c r="H1057" s="487"/>
    </row>
    <row r="1058" spans="8:8" ht="9.9499999999999993" customHeight="1">
      <c r="H1058" s="487"/>
    </row>
    <row r="1059" spans="8:8" ht="9.9499999999999993" customHeight="1">
      <c r="H1059" s="487"/>
    </row>
    <row r="1060" spans="8:8" ht="9.9499999999999993" customHeight="1">
      <c r="H1060" s="487"/>
    </row>
    <row r="1061" spans="8:8" ht="9.9499999999999993" customHeight="1">
      <c r="H1061" s="487"/>
    </row>
    <row r="1062" spans="8:8" ht="9.9499999999999993" customHeight="1">
      <c r="H1062" s="487"/>
    </row>
    <row r="1063" spans="8:8" ht="9.9499999999999993" customHeight="1">
      <c r="H1063" s="487"/>
    </row>
    <row r="1064" spans="8:8" ht="9.9499999999999993" customHeight="1">
      <c r="H1064" s="487"/>
    </row>
    <row r="1065" spans="8:8" ht="9.9499999999999993" customHeight="1">
      <c r="H1065" s="487"/>
    </row>
    <row r="1066" spans="8:8" ht="9.9499999999999993" customHeight="1">
      <c r="H1066" s="487"/>
    </row>
    <row r="1067" spans="8:8" ht="9.9499999999999993" customHeight="1">
      <c r="H1067" s="487"/>
    </row>
    <row r="1068" spans="8:8" ht="9.9499999999999993" customHeight="1">
      <c r="H1068" s="487"/>
    </row>
    <row r="1069" spans="8:8" ht="9.9499999999999993" customHeight="1">
      <c r="H1069" s="487"/>
    </row>
    <row r="1070" spans="8:8" ht="9.9499999999999993" customHeight="1">
      <c r="H1070" s="487"/>
    </row>
    <row r="1071" spans="8:8" ht="9.9499999999999993" customHeight="1">
      <c r="H1071" s="487"/>
    </row>
    <row r="1072" spans="8:8" ht="9.9499999999999993" customHeight="1">
      <c r="H1072" s="487"/>
    </row>
    <row r="1073" spans="8:8" ht="9.9499999999999993" customHeight="1">
      <c r="H1073" s="487"/>
    </row>
    <row r="1074" spans="8:8" ht="9.9499999999999993" customHeight="1">
      <c r="H1074" s="487"/>
    </row>
    <row r="1075" spans="8:8" ht="9.9499999999999993" customHeight="1">
      <c r="H1075" s="487"/>
    </row>
    <row r="1076" spans="8:8" ht="9.9499999999999993" customHeight="1">
      <c r="H1076" s="487"/>
    </row>
    <row r="1077" spans="8:8" ht="9.9499999999999993" customHeight="1">
      <c r="H1077" s="487"/>
    </row>
    <row r="1078" spans="8:8" ht="9.9499999999999993" customHeight="1">
      <c r="H1078" s="487"/>
    </row>
    <row r="1079" spans="8:8" ht="9.9499999999999993" customHeight="1">
      <c r="H1079" s="487"/>
    </row>
    <row r="1080" spans="8:8" ht="9.9499999999999993" customHeight="1">
      <c r="H1080" s="487"/>
    </row>
    <row r="1081" spans="8:8" ht="9.9499999999999993" customHeight="1">
      <c r="H1081" s="487"/>
    </row>
    <row r="1082" spans="8:8" ht="9.9499999999999993" customHeight="1">
      <c r="H1082" s="487"/>
    </row>
    <row r="1083" spans="8:8" ht="9.9499999999999993" customHeight="1">
      <c r="H1083" s="487"/>
    </row>
    <row r="1084" spans="8:8" ht="9.9499999999999993" customHeight="1">
      <c r="H1084" s="487"/>
    </row>
    <row r="1085" spans="8:8" ht="9.9499999999999993" customHeight="1">
      <c r="H1085" s="487"/>
    </row>
    <row r="1086" spans="8:8" ht="9.9499999999999993" customHeight="1">
      <c r="H1086" s="487"/>
    </row>
    <row r="1087" spans="8:8" ht="9.9499999999999993" customHeight="1">
      <c r="H1087" s="487"/>
    </row>
    <row r="1088" spans="8:8" ht="9.9499999999999993" customHeight="1">
      <c r="H1088" s="487"/>
    </row>
    <row r="1089" spans="8:8" ht="9.9499999999999993" customHeight="1">
      <c r="H1089" s="487"/>
    </row>
    <row r="1090" spans="8:8" ht="9.9499999999999993" customHeight="1">
      <c r="H1090" s="487"/>
    </row>
    <row r="1091" spans="8:8" ht="9.9499999999999993" customHeight="1">
      <c r="H1091" s="487"/>
    </row>
    <row r="1092" spans="8:8" ht="9.9499999999999993" customHeight="1">
      <c r="H1092" s="487"/>
    </row>
    <row r="1093" spans="8:8" ht="9.9499999999999993" customHeight="1">
      <c r="H1093" s="487"/>
    </row>
    <row r="1094" spans="8:8" ht="9.9499999999999993" customHeight="1">
      <c r="H1094" s="487"/>
    </row>
    <row r="1095" spans="8:8" ht="9.9499999999999993" customHeight="1">
      <c r="H1095" s="487"/>
    </row>
    <row r="1096" spans="8:8" ht="9.9499999999999993" customHeight="1">
      <c r="H1096" s="487"/>
    </row>
    <row r="1097" spans="8:8" ht="9.9499999999999993" customHeight="1">
      <c r="H1097" s="487"/>
    </row>
    <row r="1098" spans="8:8" ht="9.9499999999999993" customHeight="1">
      <c r="H1098" s="487"/>
    </row>
    <row r="1099" spans="8:8" ht="9.9499999999999993" customHeight="1">
      <c r="H1099" s="487"/>
    </row>
    <row r="1100" spans="8:8" ht="9.9499999999999993" customHeight="1">
      <c r="H1100" s="487"/>
    </row>
    <row r="1101" spans="8:8" ht="9.9499999999999993" customHeight="1">
      <c r="H1101" s="487"/>
    </row>
    <row r="1102" spans="8:8" ht="9.9499999999999993" customHeight="1">
      <c r="H1102" s="487"/>
    </row>
    <row r="1103" spans="8:8" ht="9.9499999999999993" customHeight="1">
      <c r="H1103" s="487"/>
    </row>
    <row r="1104" spans="8:8" ht="9.9499999999999993" customHeight="1">
      <c r="H1104" s="487"/>
    </row>
    <row r="1105" spans="8:8" ht="9.9499999999999993" customHeight="1">
      <c r="H1105" s="487"/>
    </row>
    <row r="1106" spans="8:8" ht="9.9499999999999993" customHeight="1">
      <c r="H1106" s="487"/>
    </row>
    <row r="1107" spans="8:8" ht="9.9499999999999993" customHeight="1">
      <c r="H1107" s="487"/>
    </row>
    <row r="1108" spans="8:8" ht="9.9499999999999993" customHeight="1">
      <c r="H1108" s="487"/>
    </row>
    <row r="1109" spans="8:8" ht="9.9499999999999993" customHeight="1">
      <c r="H1109" s="487"/>
    </row>
    <row r="1110" spans="8:8" ht="9.9499999999999993" customHeight="1">
      <c r="H1110" s="487"/>
    </row>
    <row r="1111" spans="8:8" ht="9.9499999999999993" customHeight="1">
      <c r="H1111" s="487"/>
    </row>
    <row r="1112" spans="8:8" ht="9.9499999999999993" customHeight="1">
      <c r="H1112" s="487"/>
    </row>
    <row r="1113" spans="8:8" ht="9.9499999999999993" customHeight="1">
      <c r="H1113" s="487"/>
    </row>
    <row r="1114" spans="8:8" ht="9.9499999999999993" customHeight="1">
      <c r="H1114" s="487"/>
    </row>
    <row r="1115" spans="8:8" ht="9.9499999999999993" customHeight="1">
      <c r="H1115" s="487"/>
    </row>
    <row r="1116" spans="8:8" ht="9.9499999999999993" customHeight="1">
      <c r="H1116" s="487"/>
    </row>
    <row r="1117" spans="8:8" ht="9.9499999999999993" customHeight="1">
      <c r="H1117" s="487"/>
    </row>
    <row r="1118" spans="8:8" ht="9.9499999999999993" customHeight="1">
      <c r="H1118" s="487"/>
    </row>
    <row r="1119" spans="8:8" ht="9.9499999999999993" customHeight="1">
      <c r="H1119" s="487"/>
    </row>
    <row r="1120" spans="8:8" ht="9.9499999999999993" customHeight="1">
      <c r="H1120" s="487"/>
    </row>
    <row r="1121" spans="8:8" ht="9.9499999999999993" customHeight="1">
      <c r="H1121" s="487"/>
    </row>
    <row r="1122" spans="8:8" ht="9.9499999999999993" customHeight="1">
      <c r="H1122" s="487"/>
    </row>
    <row r="1123" spans="8:8" ht="9.9499999999999993" customHeight="1">
      <c r="H1123" s="487"/>
    </row>
    <row r="1124" spans="8:8" ht="9.9499999999999993" customHeight="1">
      <c r="H1124" s="487"/>
    </row>
    <row r="1125" spans="8:8" ht="9.9499999999999993" customHeight="1">
      <c r="H1125" s="487"/>
    </row>
    <row r="1126" spans="8:8" ht="9.9499999999999993" customHeight="1">
      <c r="H1126" s="487"/>
    </row>
    <row r="1127" spans="8:8" ht="9.9499999999999993" customHeight="1">
      <c r="H1127" s="487"/>
    </row>
    <row r="1128" spans="8:8" ht="9.9499999999999993" customHeight="1">
      <c r="H1128" s="487"/>
    </row>
    <row r="1129" spans="8:8" ht="9.9499999999999993" customHeight="1">
      <c r="H1129" s="487"/>
    </row>
    <row r="1130" spans="8:8" ht="9.9499999999999993" customHeight="1">
      <c r="H1130" s="487"/>
    </row>
    <row r="1131" spans="8:8" ht="9.9499999999999993" customHeight="1">
      <c r="H1131" s="487"/>
    </row>
    <row r="1132" spans="8:8" ht="9.9499999999999993" customHeight="1">
      <c r="H1132" s="487"/>
    </row>
    <row r="1133" spans="8:8" ht="9.9499999999999993" customHeight="1">
      <c r="H1133" s="487"/>
    </row>
    <row r="1134" spans="8:8" ht="9.9499999999999993" customHeight="1">
      <c r="H1134" s="487"/>
    </row>
    <row r="1135" spans="8:8" ht="9.9499999999999993" customHeight="1">
      <c r="H1135" s="487"/>
    </row>
    <row r="1136" spans="8:8" ht="9.9499999999999993" customHeight="1">
      <c r="H1136" s="487"/>
    </row>
    <row r="1137" spans="8:8" ht="9.9499999999999993" customHeight="1">
      <c r="H1137" s="487"/>
    </row>
    <row r="1138" spans="8:8" ht="9.9499999999999993" customHeight="1">
      <c r="H1138" s="487"/>
    </row>
    <row r="1139" spans="8:8" ht="9.9499999999999993" customHeight="1">
      <c r="H1139" s="487"/>
    </row>
    <row r="1140" spans="8:8" ht="9.9499999999999993" customHeight="1">
      <c r="H1140" s="487"/>
    </row>
    <row r="1141" spans="8:8" ht="9.9499999999999993" customHeight="1">
      <c r="H1141" s="487"/>
    </row>
    <row r="1142" spans="8:8" ht="9.9499999999999993" customHeight="1">
      <c r="H1142" s="487"/>
    </row>
    <row r="1143" spans="8:8" ht="9.9499999999999993" customHeight="1">
      <c r="H1143" s="487"/>
    </row>
    <row r="1144" spans="8:8" ht="9.9499999999999993" customHeight="1">
      <c r="H1144" s="487"/>
    </row>
    <row r="1145" spans="8:8" ht="9.9499999999999993" customHeight="1">
      <c r="H1145" s="487"/>
    </row>
    <row r="1146" spans="8:8" ht="9.9499999999999993" customHeight="1">
      <c r="H1146" s="487"/>
    </row>
    <row r="1147" spans="8:8" ht="9.9499999999999993" customHeight="1">
      <c r="H1147" s="487"/>
    </row>
    <row r="1148" spans="8:8" ht="9.9499999999999993" customHeight="1">
      <c r="H1148" s="487"/>
    </row>
    <row r="1149" spans="8:8" ht="9.9499999999999993" customHeight="1">
      <c r="H1149" s="487"/>
    </row>
    <row r="1150" spans="8:8" ht="9.9499999999999993" customHeight="1">
      <c r="H1150" s="487"/>
    </row>
    <row r="1151" spans="8:8" ht="9.9499999999999993" customHeight="1">
      <c r="H1151" s="487"/>
    </row>
    <row r="1152" spans="8:8" ht="9.9499999999999993" customHeight="1">
      <c r="H1152" s="487"/>
    </row>
    <row r="1153" spans="8:8" ht="9.9499999999999993" customHeight="1">
      <c r="H1153" s="487"/>
    </row>
    <row r="1154" spans="8:8" ht="9.9499999999999993" customHeight="1">
      <c r="H1154" s="487"/>
    </row>
    <row r="1155" spans="8:8" ht="9.9499999999999993" customHeight="1">
      <c r="H1155" s="487"/>
    </row>
  </sheetData>
  <printOptions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BD448"/>
  <sheetViews>
    <sheetView showGridLines="0" view="pageBreakPreview" topLeftCell="A10" zoomScale="85" zoomScaleNormal="85" zoomScaleSheetLayoutView="85" workbookViewId="0">
      <selection activeCell="B104" sqref="B104:G104"/>
    </sheetView>
  </sheetViews>
  <sheetFormatPr baseColWidth="10" defaultColWidth="12" defaultRowHeight="12.75"/>
  <cols>
    <col min="1" max="1" width="13.83203125" style="1" customWidth="1"/>
    <col min="2" max="2" width="15.1640625" style="1" customWidth="1"/>
    <col min="3" max="3" width="15.33203125" style="1" customWidth="1"/>
    <col min="4" max="4" width="13.83203125" style="1" customWidth="1"/>
    <col min="5" max="5" width="16.33203125" style="223" customWidth="1"/>
    <col min="6" max="6" width="15.6640625" style="223" customWidth="1"/>
    <col min="7" max="7" width="13.83203125" style="1" customWidth="1"/>
    <col min="8" max="8" width="12" style="4"/>
    <col min="9" max="9" width="14.1640625" style="1" customWidth="1"/>
    <col min="10" max="10" width="13" style="1" customWidth="1"/>
    <col min="11" max="16384" width="12" style="1"/>
  </cols>
  <sheetData>
    <row r="1" spans="1:36" ht="30" customHeight="1" thickBot="1">
      <c r="A1" s="3032" t="s">
        <v>7</v>
      </c>
      <c r="B1" s="3033"/>
      <c r="C1" s="3033"/>
      <c r="D1" s="3033"/>
      <c r="E1" s="3033"/>
      <c r="F1" s="3033"/>
      <c r="G1" s="3034"/>
      <c r="I1" s="42"/>
      <c r="J1" s="4"/>
      <c r="K1" s="4"/>
      <c r="L1" s="4"/>
      <c r="M1" s="4"/>
      <c r="N1" s="4"/>
    </row>
    <row r="2" spans="1:36" s="3" customFormat="1" ht="39.75" customHeight="1">
      <c r="A2" s="1678" t="s">
        <v>18</v>
      </c>
      <c r="B2" s="141"/>
      <c r="C2" s="3043" t="s">
        <v>188</v>
      </c>
      <c r="D2" s="3044"/>
      <c r="E2" s="3044"/>
      <c r="F2" s="3045"/>
      <c r="G2" s="1691" t="s">
        <v>311</v>
      </c>
      <c r="H2" s="4"/>
      <c r="I2" s="62"/>
      <c r="J2" s="62"/>
      <c r="K2" s="62"/>
      <c r="L2" s="62"/>
      <c r="M2" s="62"/>
      <c r="N2" s="62"/>
    </row>
    <row r="3" spans="1:36" s="3" customFormat="1" ht="36" customHeight="1">
      <c r="A3" s="226" t="s">
        <v>17</v>
      </c>
      <c r="B3" s="49"/>
      <c r="C3" s="3011" t="s">
        <v>168</v>
      </c>
      <c r="D3" s="3012"/>
      <c r="E3" s="3012"/>
      <c r="F3" s="3012"/>
      <c r="G3" s="3013"/>
      <c r="H3" s="4"/>
      <c r="I3" s="62"/>
      <c r="J3" s="62"/>
      <c r="K3" s="62"/>
      <c r="L3" s="62"/>
      <c r="M3" s="62"/>
      <c r="N3" s="62"/>
    </row>
    <row r="4" spans="1:36" s="3" customFormat="1" ht="24" customHeight="1">
      <c r="A4" s="226" t="s">
        <v>8</v>
      </c>
      <c r="B4" s="49"/>
      <c r="C4" s="3017" t="s">
        <v>235</v>
      </c>
      <c r="D4" s="3018"/>
      <c r="E4" s="3018"/>
      <c r="F4" s="3018"/>
      <c r="G4" s="3019"/>
      <c r="H4" s="4"/>
      <c r="I4" s="62"/>
      <c r="J4" s="62"/>
      <c r="K4" s="62"/>
      <c r="L4" s="62"/>
      <c r="M4" s="62"/>
      <c r="N4" s="62"/>
    </row>
    <row r="5" spans="1:36" s="3" customFormat="1" ht="24" customHeight="1">
      <c r="A5" s="226" t="s">
        <v>11</v>
      </c>
      <c r="B5" s="49"/>
      <c r="C5" s="3017" t="s">
        <v>26</v>
      </c>
      <c r="D5" s="3018"/>
      <c r="E5" s="3018"/>
      <c r="F5" s="3018"/>
      <c r="G5" s="3019"/>
      <c r="H5" s="4"/>
      <c r="I5" s="4"/>
      <c r="J5" s="73"/>
      <c r="K5" s="4"/>
      <c r="L5" s="72"/>
      <c r="M5" s="62"/>
      <c r="N5" s="62"/>
    </row>
    <row r="6" spans="1:36" s="3" customFormat="1" ht="24" customHeight="1">
      <c r="A6" s="226" t="s">
        <v>16</v>
      </c>
      <c r="B6" s="49"/>
      <c r="C6" s="3017" t="s">
        <v>15</v>
      </c>
      <c r="D6" s="3018"/>
      <c r="E6" s="3018"/>
      <c r="F6" s="3018"/>
      <c r="G6" s="3019"/>
      <c r="H6" s="4"/>
      <c r="I6" s="62"/>
      <c r="J6" s="62"/>
      <c r="K6" s="62"/>
      <c r="L6" s="62"/>
      <c r="M6" s="62"/>
      <c r="N6" s="62"/>
    </row>
    <row r="7" spans="1:36" s="3" customFormat="1" ht="24" customHeight="1">
      <c r="A7" s="226" t="s">
        <v>9</v>
      </c>
      <c r="B7" s="49"/>
      <c r="C7" s="3017" t="s">
        <v>700</v>
      </c>
      <c r="D7" s="3018"/>
      <c r="E7" s="3018"/>
      <c r="F7" s="3018"/>
      <c r="G7" s="3019"/>
      <c r="H7" s="4"/>
      <c r="I7" s="62"/>
      <c r="J7" s="62"/>
      <c r="K7" s="62"/>
      <c r="L7" s="62"/>
      <c r="M7" s="62"/>
      <c r="N7" s="62"/>
      <c r="AJ7" s="37"/>
    </row>
    <row r="8" spans="1:36" s="3" customFormat="1" ht="36" customHeight="1" thickBot="1">
      <c r="A8" s="228" t="s">
        <v>21</v>
      </c>
      <c r="B8" s="148"/>
      <c r="C8" s="3046" t="s">
        <v>517</v>
      </c>
      <c r="D8" s="3047"/>
      <c r="E8" s="3047"/>
      <c r="F8" s="3047"/>
      <c r="G8" s="3048"/>
      <c r="H8" s="4"/>
      <c r="I8" s="4"/>
      <c r="J8" s="4"/>
      <c r="K8" s="4"/>
      <c r="L8" s="4"/>
      <c r="M8" s="4"/>
      <c r="N8" s="4"/>
    </row>
    <row r="9" spans="1:36" ht="13.5" thickBot="1">
      <c r="A9" s="144"/>
      <c r="B9" s="145"/>
      <c r="C9" s="145"/>
      <c r="D9" s="145"/>
      <c r="E9" s="429"/>
      <c r="F9" s="429"/>
      <c r="G9" s="146"/>
      <c r="I9" s="4"/>
      <c r="J9" s="4"/>
      <c r="K9" s="4"/>
      <c r="L9" s="4"/>
      <c r="M9" s="4"/>
      <c r="N9" s="4"/>
    </row>
    <row r="10" spans="1:36" s="4" customFormat="1" ht="14.25" customHeight="1">
      <c r="A10" s="3049" t="s">
        <v>52</v>
      </c>
      <c r="B10" s="793" t="s">
        <v>50</v>
      </c>
      <c r="C10" s="793"/>
      <c r="D10" s="794"/>
      <c r="E10" s="795" t="s">
        <v>51</v>
      </c>
      <c r="F10" s="796"/>
      <c r="G10" s="229"/>
      <c r="I10" s="33"/>
      <c r="J10" s="33"/>
    </row>
    <row r="11" spans="1:36" ht="14.25" customHeight="1" thickBot="1">
      <c r="A11" s="3050"/>
      <c r="B11" s="150" t="s">
        <v>22</v>
      </c>
      <c r="C11" s="151" t="s">
        <v>23</v>
      </c>
      <c r="D11" s="151" t="s">
        <v>24</v>
      </c>
      <c r="E11" s="151" t="s">
        <v>22</v>
      </c>
      <c r="F11" s="151" t="s">
        <v>23</v>
      </c>
      <c r="G11" s="797" t="s">
        <v>24</v>
      </c>
      <c r="I11" s="33"/>
      <c r="J11" s="33"/>
      <c r="K11" s="4"/>
      <c r="L11" s="4"/>
      <c r="M11" s="4"/>
      <c r="N11" s="4"/>
    </row>
    <row r="12" spans="1:36" ht="13.5" hidden="1" customHeight="1">
      <c r="A12" s="798">
        <v>40544</v>
      </c>
      <c r="B12" s="80"/>
      <c r="C12" s="46"/>
      <c r="D12" s="149" t="e">
        <f>+B12/C12</f>
        <v>#DIV/0!</v>
      </c>
      <c r="E12" s="430"/>
      <c r="F12" s="430"/>
      <c r="G12" s="799" t="e">
        <f>+E12/F12</f>
        <v>#DIV/0!</v>
      </c>
      <c r="I12" s="33"/>
      <c r="J12" s="33"/>
      <c r="K12" s="4"/>
      <c r="L12" s="4"/>
      <c r="M12" s="4"/>
      <c r="N12" s="4"/>
    </row>
    <row r="13" spans="1:36" ht="13.5" hidden="1" customHeight="1">
      <c r="A13" s="800">
        <v>40575</v>
      </c>
      <c r="B13" s="80"/>
      <c r="C13" s="56"/>
      <c r="D13" s="29" t="e">
        <f t="shared" ref="D13:D58" si="0">+B13/C13</f>
        <v>#DIV/0!</v>
      </c>
      <c r="E13" s="28"/>
      <c r="F13" s="28"/>
      <c r="G13" s="801" t="e">
        <f t="shared" ref="G13:G60" si="1">+E13/F13</f>
        <v>#DIV/0!</v>
      </c>
      <c r="I13" s="33"/>
      <c r="J13" s="33"/>
      <c r="K13" s="4"/>
      <c r="L13" s="4"/>
      <c r="M13" s="4"/>
      <c r="N13" s="4"/>
    </row>
    <row r="14" spans="1:36" ht="13.5" hidden="1" customHeight="1">
      <c r="A14" s="800">
        <v>40603</v>
      </c>
      <c r="B14" s="81"/>
      <c r="C14" s="65"/>
      <c r="D14" s="29" t="e">
        <f t="shared" si="0"/>
        <v>#DIV/0!</v>
      </c>
      <c r="E14" s="28"/>
      <c r="F14" s="28"/>
      <c r="G14" s="801" t="e">
        <f t="shared" si="1"/>
        <v>#DIV/0!</v>
      </c>
      <c r="I14" s="33"/>
      <c r="J14" s="33"/>
      <c r="K14" s="4"/>
      <c r="L14" s="4"/>
      <c r="M14" s="4"/>
      <c r="N14" s="4"/>
    </row>
    <row r="15" spans="1:36" ht="13.5" hidden="1" customHeight="1">
      <c r="A15" s="800">
        <v>40634</v>
      </c>
      <c r="B15" s="82"/>
      <c r="C15" s="43"/>
      <c r="D15" s="45" t="e">
        <f t="shared" si="0"/>
        <v>#DIV/0!</v>
      </c>
      <c r="E15" s="431"/>
      <c r="F15" s="28"/>
      <c r="G15" s="801" t="e">
        <f t="shared" si="1"/>
        <v>#DIV/0!</v>
      </c>
      <c r="I15" s="33"/>
      <c r="J15" s="33"/>
      <c r="K15" s="4"/>
      <c r="L15" s="4"/>
      <c r="M15" s="4"/>
      <c r="N15" s="4"/>
    </row>
    <row r="16" spans="1:36" ht="13.5" hidden="1" customHeight="1">
      <c r="A16" s="800">
        <v>40664</v>
      </c>
      <c r="B16" s="81"/>
      <c r="C16" s="46"/>
      <c r="D16" s="60" t="e">
        <f t="shared" si="0"/>
        <v>#DIV/0!</v>
      </c>
      <c r="E16" s="431"/>
      <c r="F16" s="28"/>
      <c r="G16" s="801" t="e">
        <f t="shared" si="1"/>
        <v>#DIV/0!</v>
      </c>
      <c r="I16" s="33"/>
      <c r="J16" s="33"/>
      <c r="K16" s="4"/>
      <c r="L16" s="4"/>
      <c r="M16" s="4"/>
      <c r="N16" s="4"/>
    </row>
    <row r="17" spans="1:14" ht="13.5" hidden="1" customHeight="1">
      <c r="A17" s="802">
        <v>40695</v>
      </c>
      <c r="B17" s="78"/>
      <c r="C17" s="55"/>
      <c r="D17" s="66" t="e">
        <f t="shared" si="0"/>
        <v>#DIV/0!</v>
      </c>
      <c r="E17" s="431"/>
      <c r="F17" s="28"/>
      <c r="G17" s="801" t="e">
        <f t="shared" si="1"/>
        <v>#DIV/0!</v>
      </c>
      <c r="I17" s="33"/>
      <c r="J17" s="33"/>
      <c r="K17" s="4"/>
      <c r="L17" s="4"/>
      <c r="M17" s="4"/>
      <c r="N17" s="4"/>
    </row>
    <row r="18" spans="1:14" ht="13.5" hidden="1" customHeight="1">
      <c r="A18" s="800">
        <v>40725</v>
      </c>
      <c r="B18" s="81"/>
      <c r="C18" s="43"/>
      <c r="D18" s="45" t="e">
        <f t="shared" si="0"/>
        <v>#DIV/0!</v>
      </c>
      <c r="E18" s="431"/>
      <c r="F18" s="28"/>
      <c r="G18" s="801" t="e">
        <f t="shared" si="1"/>
        <v>#DIV/0!</v>
      </c>
      <c r="I18" s="33"/>
      <c r="J18" s="33"/>
      <c r="K18" s="4"/>
      <c r="L18" s="4"/>
      <c r="M18" s="4"/>
      <c r="N18" s="4"/>
    </row>
    <row r="19" spans="1:14" ht="13.5" hidden="1" customHeight="1">
      <c r="A19" s="800">
        <v>40756</v>
      </c>
      <c r="B19" s="81"/>
      <c r="C19" s="43"/>
      <c r="D19" s="45" t="e">
        <f t="shared" si="0"/>
        <v>#DIV/0!</v>
      </c>
      <c r="E19" s="431"/>
      <c r="F19" s="28"/>
      <c r="G19" s="801" t="e">
        <f t="shared" si="1"/>
        <v>#DIV/0!</v>
      </c>
      <c r="I19" s="33"/>
      <c r="J19" s="33"/>
      <c r="K19" s="4"/>
      <c r="L19" s="4"/>
      <c r="M19" s="4"/>
      <c r="N19" s="4"/>
    </row>
    <row r="20" spans="1:14" ht="13.5" hidden="1" customHeight="1">
      <c r="A20" s="800">
        <v>40787</v>
      </c>
      <c r="B20" s="81"/>
      <c r="C20" s="43"/>
      <c r="D20" s="45" t="e">
        <f t="shared" si="0"/>
        <v>#DIV/0!</v>
      </c>
      <c r="E20" s="431"/>
      <c r="F20" s="28"/>
      <c r="G20" s="801" t="e">
        <f t="shared" si="1"/>
        <v>#DIV/0!</v>
      </c>
      <c r="I20" s="33"/>
      <c r="J20" s="33"/>
      <c r="K20" s="4"/>
      <c r="L20" s="4"/>
      <c r="M20" s="4"/>
      <c r="N20" s="4"/>
    </row>
    <row r="21" spans="1:14" ht="13.5" hidden="1" customHeight="1">
      <c r="A21" s="800">
        <v>40817</v>
      </c>
      <c r="B21" s="81"/>
      <c r="C21" s="43"/>
      <c r="D21" s="45" t="e">
        <f t="shared" si="0"/>
        <v>#DIV/0!</v>
      </c>
      <c r="E21" s="431"/>
      <c r="F21" s="28"/>
      <c r="G21" s="801" t="e">
        <f t="shared" si="1"/>
        <v>#DIV/0!</v>
      </c>
      <c r="I21" s="33"/>
      <c r="J21" s="33"/>
      <c r="K21" s="4"/>
      <c r="L21" s="4"/>
      <c r="M21" s="4"/>
      <c r="N21" s="4"/>
    </row>
    <row r="22" spans="1:14" ht="13.5" hidden="1" customHeight="1">
      <c r="A22" s="800">
        <v>40848</v>
      </c>
      <c r="B22" s="81"/>
      <c r="C22" s="43"/>
      <c r="D22" s="45" t="e">
        <f t="shared" si="0"/>
        <v>#DIV/0!</v>
      </c>
      <c r="E22" s="431"/>
      <c r="F22" s="28"/>
      <c r="G22" s="801" t="e">
        <f t="shared" si="1"/>
        <v>#DIV/0!</v>
      </c>
      <c r="I22" s="33"/>
      <c r="J22" s="33"/>
      <c r="K22" s="4"/>
      <c r="L22" s="4"/>
      <c r="M22" s="4"/>
      <c r="N22" s="4"/>
    </row>
    <row r="23" spans="1:14" ht="13.5" hidden="1" customHeight="1">
      <c r="A23" s="802">
        <v>40878</v>
      </c>
      <c r="B23" s="78"/>
      <c r="C23" s="55"/>
      <c r="D23" s="59" t="e">
        <f t="shared" si="0"/>
        <v>#DIV/0!</v>
      </c>
      <c r="E23" s="432"/>
      <c r="F23" s="28"/>
      <c r="G23" s="801" t="e">
        <f t="shared" si="1"/>
        <v>#DIV/0!</v>
      </c>
      <c r="I23" s="33"/>
      <c r="J23" s="33"/>
      <c r="K23" s="29"/>
      <c r="L23" s="4"/>
      <c r="M23" s="4"/>
      <c r="N23" s="4"/>
    </row>
    <row r="24" spans="1:14" ht="13.5" hidden="1" customHeight="1">
      <c r="A24" s="803">
        <v>40909</v>
      </c>
      <c r="B24" s="89"/>
      <c r="C24" s="90"/>
      <c r="D24" s="94" t="e">
        <f t="shared" si="0"/>
        <v>#DIV/0!</v>
      </c>
      <c r="E24" s="433"/>
      <c r="F24" s="434"/>
      <c r="G24" s="804" t="e">
        <f t="shared" si="1"/>
        <v>#DIV/0!</v>
      </c>
      <c r="I24" s="69"/>
      <c r="J24" s="4"/>
      <c r="K24" s="4"/>
      <c r="L24" s="4"/>
      <c r="M24" s="4"/>
      <c r="N24" s="4"/>
    </row>
    <row r="25" spans="1:14" ht="13.5" hidden="1" customHeight="1">
      <c r="A25" s="182">
        <v>40940</v>
      </c>
      <c r="B25" s="91"/>
      <c r="C25" s="92"/>
      <c r="D25" s="95" t="e">
        <f t="shared" si="0"/>
        <v>#DIV/0!</v>
      </c>
      <c r="E25" s="435"/>
      <c r="F25" s="436"/>
      <c r="G25" s="805" t="e">
        <f t="shared" si="1"/>
        <v>#DIV/0!</v>
      </c>
      <c r="I25" s="69"/>
      <c r="J25" s="4"/>
      <c r="K25" s="4"/>
      <c r="L25" s="4"/>
      <c r="M25" s="4"/>
      <c r="N25" s="4"/>
    </row>
    <row r="26" spans="1:14" ht="13.5" hidden="1" customHeight="1">
      <c r="A26" s="182">
        <v>40969</v>
      </c>
      <c r="B26" s="91"/>
      <c r="C26" s="92"/>
      <c r="D26" s="95" t="e">
        <f t="shared" si="0"/>
        <v>#DIV/0!</v>
      </c>
      <c r="E26" s="435"/>
      <c r="F26" s="436"/>
      <c r="G26" s="805" t="e">
        <f t="shared" si="1"/>
        <v>#DIV/0!</v>
      </c>
      <c r="I26" s="69"/>
      <c r="J26" s="4"/>
      <c r="K26" s="4"/>
      <c r="L26" s="4"/>
      <c r="M26" s="4"/>
      <c r="N26" s="4"/>
    </row>
    <row r="27" spans="1:14" ht="13.5" hidden="1" customHeight="1">
      <c r="A27" s="182">
        <v>41000</v>
      </c>
      <c r="B27" s="91"/>
      <c r="C27" s="92"/>
      <c r="D27" s="95" t="e">
        <f t="shared" si="0"/>
        <v>#DIV/0!</v>
      </c>
      <c r="E27" s="435"/>
      <c r="F27" s="436"/>
      <c r="G27" s="805" t="e">
        <f t="shared" si="1"/>
        <v>#DIV/0!</v>
      </c>
      <c r="I27" s="69"/>
      <c r="J27" s="4"/>
      <c r="K27" s="4"/>
      <c r="L27" s="4"/>
      <c r="M27" s="4"/>
      <c r="N27" s="4"/>
    </row>
    <row r="28" spans="1:14" ht="13.5" hidden="1" customHeight="1">
      <c r="A28" s="182">
        <v>41030</v>
      </c>
      <c r="B28" s="91"/>
      <c r="C28" s="92"/>
      <c r="D28" s="95" t="e">
        <f t="shared" si="0"/>
        <v>#DIV/0!</v>
      </c>
      <c r="E28" s="435"/>
      <c r="F28" s="436"/>
      <c r="G28" s="805" t="e">
        <f t="shared" si="1"/>
        <v>#DIV/0!</v>
      </c>
      <c r="I28" s="69"/>
      <c r="J28" s="4"/>
      <c r="K28" s="4"/>
      <c r="L28" s="4"/>
      <c r="M28" s="4"/>
      <c r="N28" s="4"/>
    </row>
    <row r="29" spans="1:14" ht="13.5" hidden="1" customHeight="1">
      <c r="A29" s="182">
        <v>41061</v>
      </c>
      <c r="B29" s="91"/>
      <c r="C29" s="92"/>
      <c r="D29" s="95" t="e">
        <f t="shared" si="0"/>
        <v>#DIV/0!</v>
      </c>
      <c r="E29" s="435"/>
      <c r="F29" s="436"/>
      <c r="G29" s="805" t="e">
        <f t="shared" si="1"/>
        <v>#DIV/0!</v>
      </c>
      <c r="I29" s="69"/>
      <c r="J29" s="4"/>
      <c r="K29" s="4"/>
      <c r="L29" s="4"/>
      <c r="M29" s="4"/>
      <c r="N29" s="4"/>
    </row>
    <row r="30" spans="1:14" ht="16.5" hidden="1" customHeight="1">
      <c r="A30" s="182">
        <v>41091</v>
      </c>
      <c r="B30" s="91"/>
      <c r="C30" s="92"/>
      <c r="D30" s="95" t="e">
        <f t="shared" si="0"/>
        <v>#DIV/0!</v>
      </c>
      <c r="E30" s="435"/>
      <c r="F30" s="436"/>
      <c r="G30" s="805" t="e">
        <f t="shared" si="1"/>
        <v>#DIV/0!</v>
      </c>
      <c r="I30" s="4"/>
      <c r="J30" s="4"/>
      <c r="K30" s="4"/>
      <c r="L30" s="4"/>
      <c r="M30" s="4"/>
      <c r="N30" s="4"/>
    </row>
    <row r="31" spans="1:14" ht="16.5" hidden="1" customHeight="1">
      <c r="A31" s="182">
        <v>41122</v>
      </c>
      <c r="B31" s="91"/>
      <c r="C31" s="92"/>
      <c r="D31" s="95" t="e">
        <f t="shared" si="0"/>
        <v>#DIV/0!</v>
      </c>
      <c r="E31" s="435"/>
      <c r="F31" s="436"/>
      <c r="G31" s="805" t="e">
        <f t="shared" si="1"/>
        <v>#DIV/0!</v>
      </c>
      <c r="I31" s="69"/>
      <c r="J31" s="4"/>
      <c r="K31" s="4"/>
      <c r="L31" s="4"/>
      <c r="M31" s="4"/>
      <c r="N31" s="4"/>
    </row>
    <row r="32" spans="1:14" ht="16.5" hidden="1" customHeight="1">
      <c r="A32" s="182">
        <v>41153</v>
      </c>
      <c r="B32" s="91"/>
      <c r="C32" s="92"/>
      <c r="D32" s="95" t="e">
        <f t="shared" si="0"/>
        <v>#DIV/0!</v>
      </c>
      <c r="E32" s="435"/>
      <c r="F32" s="436"/>
      <c r="G32" s="805" t="e">
        <f t="shared" si="1"/>
        <v>#DIV/0!</v>
      </c>
      <c r="I32" s="69"/>
      <c r="J32" s="4"/>
      <c r="K32" s="4"/>
      <c r="L32" s="4"/>
      <c r="M32" s="4"/>
      <c r="N32" s="4"/>
    </row>
    <row r="33" spans="1:56" ht="16.5" hidden="1" customHeight="1">
      <c r="A33" s="182">
        <v>41183</v>
      </c>
      <c r="B33" s="91"/>
      <c r="C33" s="92"/>
      <c r="D33" s="95" t="e">
        <f t="shared" si="0"/>
        <v>#DIV/0!</v>
      </c>
      <c r="E33" s="435"/>
      <c r="F33" s="436"/>
      <c r="G33" s="805" t="e">
        <f t="shared" si="1"/>
        <v>#DIV/0!</v>
      </c>
      <c r="I33" s="69"/>
      <c r="J33" s="4"/>
      <c r="K33" s="4"/>
      <c r="L33" s="4"/>
      <c r="M33" s="4"/>
      <c r="N33" s="4"/>
    </row>
    <row r="34" spans="1:56" ht="16.5" hidden="1" customHeight="1">
      <c r="A34" s="182">
        <v>41214</v>
      </c>
      <c r="B34" s="91"/>
      <c r="C34" s="92"/>
      <c r="D34" s="95" t="e">
        <f t="shared" si="0"/>
        <v>#DIV/0!</v>
      </c>
      <c r="E34" s="435"/>
      <c r="F34" s="436"/>
      <c r="G34" s="805" t="e">
        <f t="shared" si="1"/>
        <v>#DIV/0!</v>
      </c>
      <c r="I34" s="69"/>
      <c r="J34" s="4"/>
      <c r="K34" s="4"/>
      <c r="L34" s="4"/>
      <c r="M34" s="4"/>
      <c r="N34" s="4"/>
    </row>
    <row r="35" spans="1:56" ht="16.5" hidden="1" customHeight="1">
      <c r="A35" s="182">
        <v>41244</v>
      </c>
      <c r="B35" s="91"/>
      <c r="C35" s="92"/>
      <c r="D35" s="95" t="e">
        <f t="shared" si="0"/>
        <v>#DIV/0!</v>
      </c>
      <c r="E35" s="435"/>
      <c r="F35" s="436"/>
      <c r="G35" s="805" t="e">
        <f t="shared" si="1"/>
        <v>#DIV/0!</v>
      </c>
      <c r="I35" s="69"/>
      <c r="J35" s="4"/>
      <c r="K35" s="4"/>
      <c r="L35" s="4"/>
      <c r="M35" s="4"/>
      <c r="N35" s="4"/>
    </row>
    <row r="36" spans="1:56" ht="16.5" hidden="1" customHeight="1">
      <c r="A36" s="182">
        <v>41275</v>
      </c>
      <c r="B36" s="91">
        <v>3171473</v>
      </c>
      <c r="C36" s="92">
        <v>3241115.38</v>
      </c>
      <c r="D36" s="95">
        <f t="shared" si="0"/>
        <v>0.97851283529437327</v>
      </c>
      <c r="E36" s="435">
        <v>356422.56</v>
      </c>
      <c r="F36" s="436">
        <v>390004.54000000004</v>
      </c>
      <c r="G36" s="805">
        <f t="shared" si="1"/>
        <v>0.91389336134394739</v>
      </c>
      <c r="I36" s="69"/>
      <c r="J36" s="4"/>
      <c r="K36" s="4"/>
      <c r="L36" s="4"/>
      <c r="M36" s="4"/>
      <c r="N36" s="4"/>
    </row>
    <row r="37" spans="1:56" ht="16.5" hidden="1" customHeight="1">
      <c r="A37" s="182">
        <v>41306</v>
      </c>
      <c r="B37" s="91">
        <v>3195085.13</v>
      </c>
      <c r="C37" s="92">
        <v>3291353.15</v>
      </c>
      <c r="D37" s="95">
        <f t="shared" si="0"/>
        <v>0.97075123342507319</v>
      </c>
      <c r="E37" s="435">
        <v>379997.31999999995</v>
      </c>
      <c r="F37" s="436">
        <v>397065.30000000005</v>
      </c>
      <c r="G37" s="805">
        <f t="shared" si="1"/>
        <v>0.95701467743466861</v>
      </c>
      <c r="I37" s="69"/>
      <c r="J37" s="4"/>
      <c r="K37" s="4"/>
      <c r="L37" s="4"/>
      <c r="M37" s="4"/>
      <c r="N37" s="4"/>
    </row>
    <row r="38" spans="1:56" ht="16.5" hidden="1" customHeight="1">
      <c r="A38" s="182">
        <v>41334</v>
      </c>
      <c r="B38" s="91">
        <v>3279847.51</v>
      </c>
      <c r="C38" s="92">
        <v>3341687.51</v>
      </c>
      <c r="D38" s="95">
        <f t="shared" si="0"/>
        <v>0.98149437976622778</v>
      </c>
      <c r="E38" s="435">
        <v>425912.07999999984</v>
      </c>
      <c r="F38" s="436">
        <v>403013.81999999995</v>
      </c>
      <c r="G38" s="805">
        <f t="shared" si="1"/>
        <v>1.0568175552887986</v>
      </c>
      <c r="I38" s="69"/>
      <c r="J38" s="4"/>
      <c r="K38" s="4"/>
      <c r="L38" s="4"/>
      <c r="M38" s="4"/>
      <c r="N38" s="4"/>
    </row>
    <row r="39" spans="1:56" s="4" customFormat="1" ht="16.5" hidden="1" customHeight="1">
      <c r="A39" s="182">
        <v>41365</v>
      </c>
      <c r="B39" s="91">
        <v>3347516.2</v>
      </c>
      <c r="C39" s="92">
        <v>3396546.9300000006</v>
      </c>
      <c r="D39" s="95">
        <f t="shared" si="0"/>
        <v>0.98556453627449203</v>
      </c>
      <c r="E39" s="435">
        <v>458410.46000000008</v>
      </c>
      <c r="F39" s="436">
        <v>415702.73</v>
      </c>
      <c r="G39" s="805">
        <f t="shared" si="1"/>
        <v>1.1027362269186929</v>
      </c>
      <c r="I39" s="69"/>
    </row>
    <row r="40" spans="1:56" ht="19.5" hidden="1" customHeight="1">
      <c r="A40" s="182">
        <v>41395</v>
      </c>
      <c r="B40" s="91">
        <v>3410370.12</v>
      </c>
      <c r="C40" s="92">
        <v>3383810.5300000003</v>
      </c>
      <c r="D40" s="185">
        <f t="shared" si="0"/>
        <v>1.0078490180713515</v>
      </c>
      <c r="E40" s="435">
        <v>455594.56000000006</v>
      </c>
      <c r="F40" s="436">
        <v>361236.91000000003</v>
      </c>
      <c r="G40" s="805">
        <f t="shared" si="1"/>
        <v>1.2612071119753516</v>
      </c>
      <c r="I40" s="69"/>
      <c r="J40" s="4"/>
      <c r="K40" s="4"/>
      <c r="L40" s="4"/>
      <c r="M40" s="4"/>
      <c r="N40" s="4"/>
    </row>
    <row r="41" spans="1:56" ht="19.5" hidden="1" customHeight="1">
      <c r="A41" s="182">
        <v>41426</v>
      </c>
      <c r="B41" s="91">
        <v>3406862.97</v>
      </c>
      <c r="C41" s="92">
        <v>3384198.7699999996</v>
      </c>
      <c r="D41" s="185">
        <f t="shared" si="0"/>
        <v>1.0066970652554195</v>
      </c>
      <c r="E41" s="435">
        <v>373259.30999999994</v>
      </c>
      <c r="F41" s="436">
        <v>344166.88999999996</v>
      </c>
      <c r="G41" s="805">
        <f t="shared" si="1"/>
        <v>1.0845299790459215</v>
      </c>
      <c r="I41" s="69"/>
      <c r="J41" s="4"/>
      <c r="K41" s="4"/>
      <c r="L41" s="4"/>
      <c r="M41" s="4"/>
      <c r="N41" s="4"/>
    </row>
    <row r="42" spans="1:56" ht="19.5" hidden="1" customHeight="1" thickBot="1">
      <c r="A42" s="183">
        <v>41456</v>
      </c>
      <c r="B42" s="263">
        <v>3416514.99</v>
      </c>
      <c r="C42" s="101">
        <v>3393969.82</v>
      </c>
      <c r="D42" s="301">
        <f t="shared" si="0"/>
        <v>1.0066427137528289</v>
      </c>
      <c r="E42" s="426">
        <v>337087.99</v>
      </c>
      <c r="F42" s="425">
        <v>340621.89</v>
      </c>
      <c r="G42" s="806">
        <f t="shared" si="1"/>
        <v>0.98962515298121323</v>
      </c>
      <c r="I42" s="29"/>
      <c r="J42" s="287"/>
      <c r="K42" s="4"/>
      <c r="L42" s="4"/>
      <c r="M42" s="4"/>
      <c r="N42" s="4"/>
    </row>
    <row r="43" spans="1:56" ht="19.5" hidden="1" customHeight="1">
      <c r="A43" s="220">
        <v>41487</v>
      </c>
      <c r="B43" s="177">
        <v>3406330.34</v>
      </c>
      <c r="C43" s="178">
        <v>3406714.18</v>
      </c>
      <c r="D43" s="302">
        <f t="shared" si="0"/>
        <v>0.99988732838162542</v>
      </c>
      <c r="E43" s="437">
        <v>337265.89</v>
      </c>
      <c r="F43" s="438">
        <v>317233.58</v>
      </c>
      <c r="G43" s="303">
        <f t="shared" si="1"/>
        <v>1.0631468774522546</v>
      </c>
      <c r="I43" s="29"/>
      <c r="J43" s="287"/>
      <c r="K43" s="4"/>
      <c r="L43" s="4"/>
      <c r="M43" s="4"/>
      <c r="N43" s="4"/>
    </row>
    <row r="44" spans="1:56" ht="19.5" hidden="1" customHeight="1">
      <c r="A44" s="182">
        <v>41518</v>
      </c>
      <c r="B44" s="91">
        <v>3403890.16</v>
      </c>
      <c r="C44" s="92">
        <v>3392162.4199999995</v>
      </c>
      <c r="D44" s="185">
        <f t="shared" si="0"/>
        <v>1.0034573049718536</v>
      </c>
      <c r="E44" s="435">
        <v>323980.45</v>
      </c>
      <c r="F44" s="436">
        <v>302968.68</v>
      </c>
      <c r="G44" s="304">
        <f t="shared" si="1"/>
        <v>1.0693529443373486</v>
      </c>
      <c r="I44" s="29"/>
      <c r="J44" s="287"/>
      <c r="K44" s="4"/>
      <c r="L44" s="4"/>
      <c r="M44" s="4"/>
      <c r="N44" s="4"/>
      <c r="BD44" s="104">
        <v>0</v>
      </c>
    </row>
    <row r="45" spans="1:56" ht="19.5" hidden="1" customHeight="1">
      <c r="A45" s="182">
        <v>41548</v>
      </c>
      <c r="B45" s="91">
        <v>3358410.32</v>
      </c>
      <c r="C45" s="92">
        <v>3608749.8</v>
      </c>
      <c r="D45" s="185">
        <f t="shared" si="0"/>
        <v>0.93062985968159939</v>
      </c>
      <c r="E45" s="435">
        <v>321445.42000000004</v>
      </c>
      <c r="F45" s="436">
        <v>327754.23999999999</v>
      </c>
      <c r="G45" s="304">
        <f t="shared" si="1"/>
        <v>0.98075137029501147</v>
      </c>
      <c r="I45" s="29"/>
      <c r="J45" s="287"/>
      <c r="K45" s="4"/>
      <c r="L45" s="4"/>
      <c r="M45" s="4"/>
      <c r="N45" s="4"/>
    </row>
    <row r="46" spans="1:56" ht="19.5" hidden="1" customHeight="1">
      <c r="A46" s="182">
        <v>41579</v>
      </c>
      <c r="B46" s="91">
        <v>3378052.67</v>
      </c>
      <c r="C46" s="92">
        <v>3422650.8400000008</v>
      </c>
      <c r="D46" s="185">
        <f t="shared" si="0"/>
        <v>0.98696969919373934</v>
      </c>
      <c r="E46" s="435">
        <v>334963.89999999997</v>
      </c>
      <c r="F46" s="436">
        <v>347990.66000000003</v>
      </c>
      <c r="G46" s="304">
        <f t="shared" si="1"/>
        <v>0.96256577690906975</v>
      </c>
      <c r="I46" s="29"/>
      <c r="J46" s="287"/>
      <c r="K46" s="4"/>
      <c r="L46" s="4"/>
      <c r="M46" s="4"/>
      <c r="N46" s="4"/>
    </row>
    <row r="47" spans="1:56" ht="19.5" hidden="1" customHeight="1">
      <c r="A47" s="182">
        <v>41609</v>
      </c>
      <c r="B47" s="91">
        <f>SUM(E36:E47)</f>
        <v>4460517.1900000004</v>
      </c>
      <c r="C47" s="92">
        <f>SUM(F36:F47)</f>
        <v>4319597.7000000011</v>
      </c>
      <c r="D47" s="185">
        <f t="shared" si="0"/>
        <v>1.0326232903587294</v>
      </c>
      <c r="E47" s="435">
        <v>356177.24999999994</v>
      </c>
      <c r="F47" s="436">
        <v>371838.46</v>
      </c>
      <c r="G47" s="304">
        <f t="shared" si="1"/>
        <v>0.95788168335249646</v>
      </c>
      <c r="I47" s="29"/>
      <c r="J47" s="287"/>
      <c r="K47" s="4"/>
      <c r="L47" s="4"/>
      <c r="M47" s="4"/>
      <c r="N47" s="4"/>
    </row>
    <row r="48" spans="1:56" ht="19.5" hidden="1" customHeight="1">
      <c r="A48" s="182">
        <v>41640</v>
      </c>
      <c r="B48" s="91">
        <f>SUM(E37:E48)</f>
        <v>4519074.79</v>
      </c>
      <c r="C48" s="92">
        <f t="shared" ref="C48:C63" si="2">SUM(F37:F48)</f>
        <v>4358193.3600000003</v>
      </c>
      <c r="D48" s="185">
        <f t="shared" si="0"/>
        <v>1.0369147067857494</v>
      </c>
      <c r="E48" s="435">
        <v>414980.15999999992</v>
      </c>
      <c r="F48" s="436">
        <v>428600.20000000007</v>
      </c>
      <c r="G48" s="304">
        <f>+E48/F48</f>
        <v>0.96822204002704582</v>
      </c>
      <c r="I48" s="29"/>
      <c r="J48" s="287"/>
      <c r="K48" s="4"/>
      <c r="L48" s="4"/>
      <c r="M48" s="4"/>
      <c r="N48" s="4"/>
    </row>
    <row r="49" spans="1:14" ht="19.5" hidden="1" customHeight="1">
      <c r="A49" s="182">
        <v>41671</v>
      </c>
      <c r="B49" s="91">
        <f>SUM(E38:E49)</f>
        <v>4578658.0299999993</v>
      </c>
      <c r="C49" s="92">
        <f t="shared" si="2"/>
        <v>4417847.9700000007</v>
      </c>
      <c r="D49" s="185">
        <f t="shared" si="0"/>
        <v>1.0364000891592471</v>
      </c>
      <c r="E49" s="435">
        <v>439580.56</v>
      </c>
      <c r="F49" s="436">
        <v>456719.91</v>
      </c>
      <c r="G49" s="304">
        <f t="shared" si="1"/>
        <v>0.96247295196743232</v>
      </c>
      <c r="H49" s="71"/>
      <c r="I49" s="29"/>
      <c r="J49" s="287"/>
      <c r="K49" s="4"/>
      <c r="L49" s="4"/>
      <c r="M49" s="4"/>
      <c r="N49" s="4"/>
    </row>
    <row r="50" spans="1:14" ht="19.5" hidden="1" customHeight="1">
      <c r="A50" s="182">
        <v>41699</v>
      </c>
      <c r="B50" s="91">
        <f t="shared" ref="B50:B63" si="3">SUM(E39:E50)</f>
        <v>4662925.5599999996</v>
      </c>
      <c r="C50" s="92">
        <f t="shared" si="2"/>
        <v>4551851.5200000005</v>
      </c>
      <c r="D50" s="185">
        <f t="shared" si="0"/>
        <v>1.0244019471004184</v>
      </c>
      <c r="E50" s="435">
        <v>510179.61</v>
      </c>
      <c r="F50" s="436">
        <v>537017.37</v>
      </c>
      <c r="G50" s="304">
        <f t="shared" si="1"/>
        <v>0.95002440982495595</v>
      </c>
      <c r="H50" s="71"/>
      <c r="I50" s="29"/>
      <c r="J50" s="287"/>
      <c r="K50" s="4"/>
      <c r="L50" s="4"/>
      <c r="M50" s="4"/>
      <c r="N50" s="4"/>
    </row>
    <row r="51" spans="1:14" ht="19.5" hidden="1" customHeight="1">
      <c r="A51" s="182">
        <v>41730</v>
      </c>
      <c r="B51" s="91">
        <f t="shared" si="3"/>
        <v>4678814.9399999995</v>
      </c>
      <c r="C51" s="92">
        <f t="shared" si="2"/>
        <v>4641671.0500000007</v>
      </c>
      <c r="D51" s="185">
        <f t="shared" si="0"/>
        <v>1.0080022667698518</v>
      </c>
      <c r="E51" s="435">
        <v>474299.84</v>
      </c>
      <c r="F51" s="436">
        <v>505522.26</v>
      </c>
      <c r="G51" s="304">
        <f t="shared" si="1"/>
        <v>0.938237299382227</v>
      </c>
      <c r="H51" s="71"/>
      <c r="I51" s="29"/>
      <c r="J51" s="287"/>
      <c r="K51" s="4"/>
      <c r="L51" s="4"/>
      <c r="M51" s="4"/>
      <c r="N51" s="4"/>
    </row>
    <row r="52" spans="1:14" ht="19.5" hidden="1" customHeight="1">
      <c r="A52" s="182">
        <v>41760</v>
      </c>
      <c r="B52" s="91">
        <f t="shared" si="3"/>
        <v>4741355.0999999996</v>
      </c>
      <c r="C52" s="92">
        <f t="shared" si="2"/>
        <v>4762706.6400000006</v>
      </c>
      <c r="D52" s="185">
        <f t="shared" si="0"/>
        <v>0.99551693152362608</v>
      </c>
      <c r="E52" s="435">
        <v>518134.72</v>
      </c>
      <c r="F52" s="436">
        <v>482272.5</v>
      </c>
      <c r="G52" s="304">
        <f t="shared" si="1"/>
        <v>1.0743609059193713</v>
      </c>
      <c r="H52" s="71"/>
      <c r="I52" s="29"/>
      <c r="J52" s="287"/>
      <c r="K52" s="4"/>
      <c r="L52" s="4"/>
      <c r="M52" s="4"/>
      <c r="N52" s="4"/>
    </row>
    <row r="53" spans="1:14" ht="19.5" hidden="1" customHeight="1">
      <c r="A53" s="182">
        <v>41791</v>
      </c>
      <c r="B53" s="91">
        <f t="shared" si="3"/>
        <v>4886895.3499999987</v>
      </c>
      <c r="C53" s="92">
        <f t="shared" si="2"/>
        <v>4902678.1399999997</v>
      </c>
      <c r="D53" s="185">
        <f t="shared" si="0"/>
        <v>0.99678078194217312</v>
      </c>
      <c r="E53" s="435">
        <v>518799.56</v>
      </c>
      <c r="F53" s="436">
        <v>484138.39</v>
      </c>
      <c r="G53" s="304">
        <f t="shared" si="1"/>
        <v>1.0715935168867727</v>
      </c>
      <c r="H53" s="71"/>
      <c r="I53" s="29"/>
      <c r="J53" s="287"/>
      <c r="K53" s="4"/>
      <c r="L53" s="4"/>
      <c r="M53" s="4"/>
      <c r="N53" s="4"/>
    </row>
    <row r="54" spans="1:14" ht="19.5" hidden="1" customHeight="1">
      <c r="A54" s="182">
        <v>41821</v>
      </c>
      <c r="B54" s="91">
        <f t="shared" si="3"/>
        <v>5024890.459999999</v>
      </c>
      <c r="C54" s="92">
        <f t="shared" si="2"/>
        <v>5036249.88</v>
      </c>
      <c r="D54" s="185">
        <f t="shared" si="0"/>
        <v>0.99774446854888765</v>
      </c>
      <c r="E54" s="435">
        <v>475083.1</v>
      </c>
      <c r="F54" s="436">
        <v>474193.63</v>
      </c>
      <c r="G54" s="304">
        <f t="shared" si="1"/>
        <v>1.0018757527383908</v>
      </c>
      <c r="H54" s="71"/>
      <c r="I54" s="29"/>
      <c r="J54" s="287"/>
      <c r="K54" s="4"/>
      <c r="L54" s="4"/>
      <c r="M54" s="4"/>
      <c r="N54" s="4"/>
    </row>
    <row r="55" spans="1:14" ht="19.5" hidden="1" customHeight="1">
      <c r="A55" s="182">
        <v>41852</v>
      </c>
      <c r="B55" s="91">
        <f t="shared" si="3"/>
        <v>5122713.1499999985</v>
      </c>
      <c r="C55" s="92">
        <f t="shared" si="2"/>
        <v>5171173.62</v>
      </c>
      <c r="D55" s="185">
        <f t="shared" si="0"/>
        <v>0.99062872888031139</v>
      </c>
      <c r="E55" s="435">
        <v>435088.58</v>
      </c>
      <c r="F55" s="436">
        <v>452157.31999999995</v>
      </c>
      <c r="G55" s="304">
        <f t="shared" si="1"/>
        <v>0.96225043973632907</v>
      </c>
      <c r="H55" s="71"/>
      <c r="I55" s="29"/>
      <c r="J55" s="287"/>
      <c r="K55" s="4"/>
      <c r="L55" s="4"/>
      <c r="M55" s="4"/>
      <c r="N55" s="4"/>
    </row>
    <row r="56" spans="1:14" ht="19.5" hidden="1" customHeight="1">
      <c r="A56" s="182">
        <v>41883</v>
      </c>
      <c r="B56" s="91">
        <f t="shared" si="3"/>
        <v>5209943.8</v>
      </c>
      <c r="C56" s="92">
        <f t="shared" si="2"/>
        <v>5285775.2600000007</v>
      </c>
      <c r="D56" s="185">
        <f t="shared" si="0"/>
        <v>0.98565367306214213</v>
      </c>
      <c r="E56" s="435">
        <v>411211.1</v>
      </c>
      <c r="F56" s="436">
        <v>417570.31999999995</v>
      </c>
      <c r="G56" s="304">
        <f t="shared" si="1"/>
        <v>0.98477090038391624</v>
      </c>
      <c r="H56" s="71"/>
      <c r="I56" s="29"/>
      <c r="J56" s="287"/>
      <c r="K56" s="4"/>
      <c r="L56" s="4"/>
      <c r="M56" s="4"/>
      <c r="N56" s="4"/>
    </row>
    <row r="57" spans="1:14" ht="19.5" hidden="1" customHeight="1">
      <c r="A57" s="182">
        <v>41913</v>
      </c>
      <c r="B57" s="91">
        <f t="shared" si="3"/>
        <v>5295966.75</v>
      </c>
      <c r="C57" s="92">
        <f t="shared" si="2"/>
        <v>5388185.7400000002</v>
      </c>
      <c r="D57" s="185">
        <f t="shared" si="0"/>
        <v>0.98288496454095875</v>
      </c>
      <c r="E57" s="435">
        <v>407468.37</v>
      </c>
      <c r="F57" s="436">
        <v>430164.72</v>
      </c>
      <c r="G57" s="304">
        <f t="shared" si="1"/>
        <v>0.94723800222389232</v>
      </c>
      <c r="H57" s="71"/>
      <c r="I57" s="29"/>
      <c r="J57" s="287"/>
      <c r="K57" s="4"/>
      <c r="L57" s="4"/>
      <c r="M57" s="4"/>
      <c r="N57" s="4"/>
    </row>
    <row r="58" spans="1:14" ht="19.5" hidden="1" customHeight="1">
      <c r="A58" s="182">
        <v>41944</v>
      </c>
      <c r="B58" s="91">
        <f t="shared" si="3"/>
        <v>5368167.18</v>
      </c>
      <c r="C58" s="92">
        <f t="shared" si="2"/>
        <v>5486435.8799999999</v>
      </c>
      <c r="D58" s="185">
        <f t="shared" si="0"/>
        <v>0.97844343712625326</v>
      </c>
      <c r="E58" s="435">
        <v>407164.33000000007</v>
      </c>
      <c r="F58" s="436">
        <v>446240.80000000005</v>
      </c>
      <c r="G58" s="304">
        <f t="shared" si="1"/>
        <v>0.91243187534622572</v>
      </c>
      <c r="H58" s="71"/>
      <c r="I58" s="29"/>
      <c r="J58" s="287"/>
      <c r="K58" s="4"/>
      <c r="L58" s="4"/>
      <c r="M58" s="4"/>
      <c r="N58" s="4"/>
    </row>
    <row r="59" spans="1:14" ht="19.5" hidden="1" customHeight="1">
      <c r="A59" s="182">
        <v>41974</v>
      </c>
      <c r="B59" s="91">
        <f t="shared" si="3"/>
        <v>5525930.8800000008</v>
      </c>
      <c r="C59" s="92">
        <f t="shared" si="2"/>
        <v>5612518.6699999999</v>
      </c>
      <c r="D59" s="185">
        <f t="shared" ref="D59:D64" si="4">+B59/C59</f>
        <v>0.98457238272313863</v>
      </c>
      <c r="E59" s="435">
        <v>513940.94999999995</v>
      </c>
      <c r="F59" s="436">
        <v>497921.25000000006</v>
      </c>
      <c r="G59" s="304">
        <f t="shared" si="1"/>
        <v>1.0321731599123354</v>
      </c>
      <c r="H59" s="71"/>
      <c r="I59" s="29"/>
      <c r="J59" s="287"/>
      <c r="K59" s="4"/>
      <c r="L59" s="4"/>
      <c r="M59" s="4"/>
      <c r="N59" s="4"/>
    </row>
    <row r="60" spans="1:14" ht="19.5" hidden="1" customHeight="1">
      <c r="A60" s="182">
        <v>42005</v>
      </c>
      <c r="B60" s="91">
        <f t="shared" si="3"/>
        <v>5603489.3500000006</v>
      </c>
      <c r="C60" s="92">
        <f t="shared" si="2"/>
        <v>5712400.6200000001</v>
      </c>
      <c r="D60" s="185">
        <f t="shared" si="4"/>
        <v>0.98093423811721392</v>
      </c>
      <c r="E60" s="435">
        <v>492538.63</v>
      </c>
      <c r="F60" s="436">
        <v>528482.15</v>
      </c>
      <c r="G60" s="304">
        <f t="shared" si="1"/>
        <v>0.93198725822622386</v>
      </c>
      <c r="H60" s="71"/>
      <c r="I60" s="29"/>
      <c r="J60" s="287"/>
      <c r="K60" s="4"/>
      <c r="L60" s="4"/>
      <c r="M60" s="4"/>
      <c r="N60" s="4"/>
    </row>
    <row r="61" spans="1:14" ht="19.5" hidden="1" customHeight="1">
      <c r="A61" s="182">
        <v>42036</v>
      </c>
      <c r="B61" s="91">
        <f t="shared" si="3"/>
        <v>5679325.7800000003</v>
      </c>
      <c r="C61" s="92">
        <f>SUM(F50:F61)</f>
        <v>5768082.0300000003</v>
      </c>
      <c r="D61" s="185">
        <f t="shared" si="4"/>
        <v>0.9846125194582227</v>
      </c>
      <c r="E61" s="435">
        <v>515416.99</v>
      </c>
      <c r="F61" s="436">
        <v>512401.32000000007</v>
      </c>
      <c r="G61" s="304">
        <f t="shared" ref="G61:G73" si="5">+E61/F61</f>
        <v>1.0058853673522932</v>
      </c>
      <c r="H61" s="71"/>
      <c r="I61" s="29"/>
      <c r="J61" s="287"/>
      <c r="K61" s="4"/>
      <c r="L61" s="4"/>
      <c r="M61" s="4"/>
      <c r="N61" s="4"/>
    </row>
    <row r="62" spans="1:14" ht="19.5" hidden="1" customHeight="1">
      <c r="A62" s="182">
        <v>42064</v>
      </c>
      <c r="B62" s="91">
        <f t="shared" si="3"/>
        <v>5739300.1400000006</v>
      </c>
      <c r="C62" s="92">
        <f>SUM(F51:F62)</f>
        <v>5803143.79</v>
      </c>
      <c r="D62" s="185">
        <f t="shared" si="4"/>
        <v>0.98899843734528603</v>
      </c>
      <c r="E62" s="435">
        <v>570153.97</v>
      </c>
      <c r="F62" s="436">
        <v>572079.12999999989</v>
      </c>
      <c r="G62" s="304">
        <f t="shared" si="5"/>
        <v>0.99663480120311343</v>
      </c>
      <c r="H62" s="71"/>
      <c r="I62" s="29"/>
      <c r="J62" s="287"/>
      <c r="K62" s="4"/>
      <c r="L62" s="4"/>
      <c r="M62" s="4"/>
      <c r="N62" s="4"/>
    </row>
    <row r="63" spans="1:14" ht="19.5" hidden="1" customHeight="1">
      <c r="A63" s="182">
        <v>42095</v>
      </c>
      <c r="B63" s="91">
        <f t="shared" si="3"/>
        <v>5862816.5700000003</v>
      </c>
      <c r="C63" s="92">
        <f t="shared" si="2"/>
        <v>5890380.3000000007</v>
      </c>
      <c r="D63" s="185">
        <f t="shared" si="4"/>
        <v>0.9953205517137832</v>
      </c>
      <c r="E63" s="435">
        <v>597816.27</v>
      </c>
      <c r="F63" s="436">
        <v>592758.77</v>
      </c>
      <c r="G63" s="304">
        <f t="shared" si="5"/>
        <v>1.0085321386303572</v>
      </c>
      <c r="H63" s="71"/>
      <c r="I63" s="29"/>
      <c r="J63" s="287"/>
      <c r="K63" s="4"/>
      <c r="L63" s="4"/>
      <c r="M63" s="4"/>
      <c r="N63" s="4"/>
    </row>
    <row r="64" spans="1:14" ht="19.5" hidden="1" customHeight="1">
      <c r="A64" s="182">
        <v>42125</v>
      </c>
      <c r="B64" s="91">
        <f>SUM(E53:E64)</f>
        <v>5951605.5499999998</v>
      </c>
      <c r="C64" s="92">
        <f>SUM(F53:F64)</f>
        <v>6016439.4399999985</v>
      </c>
      <c r="D64" s="185">
        <f t="shared" si="4"/>
        <v>0.98922387723726535</v>
      </c>
      <c r="E64" s="435">
        <v>606923.70000000007</v>
      </c>
      <c r="F64" s="436">
        <v>608331.64</v>
      </c>
      <c r="G64" s="304">
        <f t="shared" si="5"/>
        <v>0.99768557163983784</v>
      </c>
      <c r="H64" s="71"/>
      <c r="I64" s="29"/>
      <c r="J64" s="287"/>
      <c r="K64" s="4"/>
      <c r="L64" s="4"/>
      <c r="M64" s="4"/>
      <c r="N64" s="4"/>
    </row>
    <row r="65" spans="1:14" ht="19.5" hidden="1" customHeight="1">
      <c r="A65" s="182">
        <v>42156</v>
      </c>
      <c r="B65" s="91">
        <v>6019581.2199999988</v>
      </c>
      <c r="C65" s="92">
        <v>6102503.2699999996</v>
      </c>
      <c r="D65" s="185">
        <f t="shared" ref="D65:D79" si="6">+B65/C65</f>
        <v>0.98641179753108088</v>
      </c>
      <c r="E65" s="435">
        <v>586775.23</v>
      </c>
      <c r="F65" s="436">
        <v>570202.22</v>
      </c>
      <c r="G65" s="304">
        <f t="shared" si="5"/>
        <v>1.0290651446428953</v>
      </c>
      <c r="H65" s="71"/>
      <c r="I65" s="29"/>
      <c r="J65" s="287"/>
      <c r="K65" s="4"/>
      <c r="L65" s="4"/>
      <c r="M65" s="4"/>
      <c r="N65" s="4"/>
    </row>
    <row r="66" spans="1:14" ht="19.5" hidden="1" customHeight="1">
      <c r="A66" s="182">
        <v>42186</v>
      </c>
      <c r="B66" s="91">
        <v>6104648.2299999986</v>
      </c>
      <c r="C66" s="92">
        <v>6198683.6799999988</v>
      </c>
      <c r="D66" s="185">
        <f t="shared" si="6"/>
        <v>0.98482977114909009</v>
      </c>
      <c r="E66" s="435">
        <v>560150.10999999987</v>
      </c>
      <c r="F66" s="436">
        <v>570374.04</v>
      </c>
      <c r="G66" s="304">
        <f t="shared" si="5"/>
        <v>0.98207504324705908</v>
      </c>
      <c r="H66" s="1"/>
      <c r="I66" s="29"/>
      <c r="J66" s="287"/>
      <c r="K66" s="4"/>
      <c r="L66" s="4"/>
      <c r="M66" s="4"/>
      <c r="N66" s="4"/>
    </row>
    <row r="67" spans="1:14" ht="19.5" hidden="1" customHeight="1">
      <c r="A67" s="182">
        <v>42217</v>
      </c>
      <c r="B67" s="91">
        <v>6197110.9999999981</v>
      </c>
      <c r="C67" s="92">
        <v>6262667.419999999</v>
      </c>
      <c r="D67" s="185">
        <f t="shared" si="6"/>
        <v>0.98953218882569993</v>
      </c>
      <c r="E67" s="435">
        <v>527551.35000000009</v>
      </c>
      <c r="F67" s="436">
        <v>516141.06</v>
      </c>
      <c r="G67" s="304">
        <f t="shared" si="5"/>
        <v>1.0221069217008236</v>
      </c>
      <c r="H67" s="1"/>
      <c r="I67" s="29"/>
      <c r="J67" s="287"/>
      <c r="K67" s="4"/>
      <c r="L67" s="4"/>
      <c r="M67" s="4"/>
      <c r="N67" s="4"/>
    </row>
    <row r="68" spans="1:14" ht="19.5" hidden="1" customHeight="1">
      <c r="A68" s="182">
        <v>42248</v>
      </c>
      <c r="B68" s="91">
        <v>6267242.5799999982</v>
      </c>
      <c r="C68" s="92">
        <v>6342771</v>
      </c>
      <c r="D68" s="185">
        <f>+B68/C68</f>
        <v>0.98809220449547974</v>
      </c>
      <c r="E68" s="435">
        <v>481342.68</v>
      </c>
      <c r="F68" s="436">
        <v>497673.9</v>
      </c>
      <c r="G68" s="304">
        <f>+E68/F68</f>
        <v>0.96718489758052406</v>
      </c>
      <c r="H68" s="1"/>
      <c r="I68" s="29"/>
      <c r="J68" s="287"/>
      <c r="K68" s="4"/>
      <c r="L68" s="4"/>
      <c r="M68" s="4"/>
      <c r="N68" s="4"/>
    </row>
    <row r="69" spans="1:14" ht="19.5" hidden="1" customHeight="1">
      <c r="A69" s="182">
        <v>42278</v>
      </c>
      <c r="B69" s="91">
        <v>6365009.5099999988</v>
      </c>
      <c r="C69" s="92">
        <v>6421284.8300000001</v>
      </c>
      <c r="D69" s="185">
        <f>+B69/C69</f>
        <v>0.99123612773925163</v>
      </c>
      <c r="E69" s="435">
        <v>505235.29999999993</v>
      </c>
      <c r="F69" s="436">
        <v>508678.54999999993</v>
      </c>
      <c r="G69" s="304">
        <f>+E69/F69</f>
        <v>0.99323099037692864</v>
      </c>
      <c r="H69" s="1"/>
      <c r="I69" s="29"/>
      <c r="J69" s="287"/>
      <c r="K69" s="4"/>
      <c r="L69" s="4"/>
      <c r="M69" s="4"/>
      <c r="N69" s="4"/>
    </row>
    <row r="70" spans="1:14" ht="19.5" hidden="1" customHeight="1">
      <c r="A70" s="182">
        <v>42309</v>
      </c>
      <c r="B70" s="91">
        <v>6426673.3599999985</v>
      </c>
      <c r="C70" s="92">
        <v>6467092.6200000001</v>
      </c>
      <c r="D70" s="185">
        <f t="shared" si="6"/>
        <v>0.9937500106500714</v>
      </c>
      <c r="E70" s="435">
        <v>468828.18000000005</v>
      </c>
      <c r="F70" s="436">
        <v>492048.59</v>
      </c>
      <c r="G70" s="304">
        <f t="shared" si="5"/>
        <v>0.95280870533538164</v>
      </c>
      <c r="H70" s="1"/>
      <c r="I70" s="29"/>
      <c r="J70" s="287"/>
      <c r="K70" s="4"/>
      <c r="L70" s="4"/>
      <c r="M70" s="4"/>
      <c r="N70" s="4"/>
    </row>
    <row r="71" spans="1:14" ht="13.5" hidden="1" thickBot="1">
      <c r="A71" s="182">
        <v>42339</v>
      </c>
      <c r="B71" s="91">
        <v>6412891.4999999991</v>
      </c>
      <c r="C71" s="92">
        <v>6552225.21</v>
      </c>
      <c r="D71" s="185">
        <f t="shared" si="6"/>
        <v>0.97873490218447468</v>
      </c>
      <c r="E71" s="435">
        <v>500159.09</v>
      </c>
      <c r="F71" s="436">
        <v>583053.84</v>
      </c>
      <c r="G71" s="304">
        <f t="shared" si="5"/>
        <v>0.85782659453885091</v>
      </c>
      <c r="H71" s="1"/>
      <c r="I71" s="29"/>
      <c r="J71" s="287"/>
      <c r="K71" s="4"/>
      <c r="L71" s="4"/>
      <c r="M71" s="4"/>
      <c r="N71" s="4"/>
    </row>
    <row r="72" spans="1:14" ht="13.5" hidden="1" thickBot="1">
      <c r="A72" s="182">
        <v>42370</v>
      </c>
      <c r="B72" s="91">
        <v>6446530.6099999994</v>
      </c>
      <c r="C72" s="92">
        <v>6609843.8699999992</v>
      </c>
      <c r="D72" s="185">
        <f t="shared" si="6"/>
        <v>0.97529241791304222</v>
      </c>
      <c r="E72" s="435">
        <v>526177.74</v>
      </c>
      <c r="F72" s="436">
        <v>586100.81000000006</v>
      </c>
      <c r="G72" s="304">
        <f t="shared" si="5"/>
        <v>0.89775978982182258</v>
      </c>
      <c r="H72" s="1"/>
      <c r="I72" s="29"/>
      <c r="J72" s="287"/>
      <c r="K72" s="4"/>
      <c r="L72" s="4"/>
      <c r="M72" s="4"/>
      <c r="N72" s="4"/>
    </row>
    <row r="73" spans="1:14" ht="13.5" hidden="1" thickBot="1">
      <c r="A73" s="182">
        <v>42401</v>
      </c>
      <c r="B73" s="91">
        <v>6559830.8600000003</v>
      </c>
      <c r="C73" s="92">
        <v>6726254.3399999989</v>
      </c>
      <c r="D73" s="185">
        <f t="shared" si="6"/>
        <v>0.9752576290476701</v>
      </c>
      <c r="E73" s="435">
        <v>628717.24</v>
      </c>
      <c r="F73" s="436">
        <v>628811.79</v>
      </c>
      <c r="G73" s="304">
        <f t="shared" si="5"/>
        <v>0.99984963704322394</v>
      </c>
      <c r="H73" s="1"/>
      <c r="I73" s="29"/>
      <c r="J73" s="287"/>
      <c r="K73" s="4"/>
      <c r="L73" s="4"/>
      <c r="M73" s="4"/>
      <c r="N73" s="4"/>
    </row>
    <row r="74" spans="1:14" ht="13.5" hidden="1" thickBot="1">
      <c r="A74" s="182">
        <v>42430</v>
      </c>
      <c r="B74" s="91">
        <v>6669764.3100000005</v>
      </c>
      <c r="C74" s="92">
        <v>6809789.6200000001</v>
      </c>
      <c r="D74" s="185">
        <f t="shared" si="6"/>
        <v>0.97943764524108756</v>
      </c>
      <c r="E74" s="435">
        <v>680087.42</v>
      </c>
      <c r="F74" s="436">
        <v>655614.41</v>
      </c>
      <c r="G74" s="304">
        <f t="shared" ref="G74:G80" si="7">+E74/F74</f>
        <v>1.037328358905351</v>
      </c>
      <c r="H74" s="1"/>
      <c r="I74" s="29"/>
      <c r="J74" s="287"/>
      <c r="K74" s="4"/>
      <c r="L74" s="4"/>
      <c r="M74" s="4"/>
      <c r="N74" s="4"/>
    </row>
    <row r="75" spans="1:14" ht="13.5" hidden="1" thickBot="1">
      <c r="A75" s="182">
        <v>42461</v>
      </c>
      <c r="B75" s="91">
        <v>6697652.8100000005</v>
      </c>
      <c r="C75" s="92">
        <v>6880713.4200000009</v>
      </c>
      <c r="D75" s="185">
        <f t="shared" si="6"/>
        <v>0.97339511198534989</v>
      </c>
      <c r="E75" s="435">
        <v>625704.77</v>
      </c>
      <c r="F75" s="436">
        <v>663682.57000000007</v>
      </c>
      <c r="G75" s="304">
        <f t="shared" si="7"/>
        <v>0.94277716228105846</v>
      </c>
      <c r="H75" s="1"/>
      <c r="I75" s="29"/>
      <c r="J75" s="287"/>
      <c r="K75" s="4"/>
      <c r="L75" s="4"/>
      <c r="M75" s="4"/>
      <c r="N75" s="4"/>
    </row>
    <row r="76" spans="1:14" ht="13.5" hidden="1" thickBot="1">
      <c r="A76" s="182">
        <v>42491</v>
      </c>
      <c r="B76" s="91">
        <v>6635664.9799999995</v>
      </c>
      <c r="C76" s="92">
        <v>6855121.4299999997</v>
      </c>
      <c r="D76" s="185">
        <f t="shared" si="6"/>
        <v>0.96798649706778428</v>
      </c>
      <c r="E76" s="435">
        <v>544935.87</v>
      </c>
      <c r="F76" s="436">
        <v>582739.64999999991</v>
      </c>
      <c r="G76" s="304">
        <f t="shared" si="7"/>
        <v>0.93512749647291049</v>
      </c>
      <c r="H76" s="1"/>
      <c r="I76" s="29"/>
      <c r="J76" s="287"/>
      <c r="K76" s="4"/>
      <c r="L76" s="4"/>
      <c r="M76" s="4"/>
      <c r="N76" s="4"/>
    </row>
    <row r="77" spans="1:14" ht="13.5" hidden="1" thickBot="1">
      <c r="A77" s="182">
        <v>42522</v>
      </c>
      <c r="B77" s="91">
        <v>6559695.5500000007</v>
      </c>
      <c r="C77" s="92">
        <v>6839976.0300000012</v>
      </c>
      <c r="D77" s="185">
        <f t="shared" si="6"/>
        <v>0.95902317803882708</v>
      </c>
      <c r="E77" s="435">
        <v>510805.8</v>
      </c>
      <c r="F77" s="436">
        <v>555056.82000000007</v>
      </c>
      <c r="G77" s="304">
        <f t="shared" si="7"/>
        <v>0.92027659438541798</v>
      </c>
      <c r="H77" s="1"/>
      <c r="I77" s="29"/>
      <c r="J77" s="287"/>
      <c r="K77" s="4"/>
      <c r="L77" s="4"/>
      <c r="M77" s="4"/>
      <c r="N77" s="4"/>
    </row>
    <row r="78" spans="1:14" ht="13.5" hidden="1" thickBot="1">
      <c r="A78" s="182">
        <v>42552</v>
      </c>
      <c r="B78" s="91">
        <v>6584385.2999999998</v>
      </c>
      <c r="C78" s="92">
        <v>6786649.5300000003</v>
      </c>
      <c r="D78" s="185">
        <f t="shared" si="6"/>
        <v>0.97019674743687545</v>
      </c>
      <c r="E78" s="435">
        <v>584839.8600000001</v>
      </c>
      <c r="F78" s="436">
        <v>517047.54000000004</v>
      </c>
      <c r="G78" s="304">
        <f t="shared" si="7"/>
        <v>1.1311142878660636</v>
      </c>
      <c r="H78" s="1"/>
      <c r="I78" s="29"/>
      <c r="J78" s="287"/>
      <c r="K78" s="4"/>
      <c r="L78" s="4"/>
      <c r="M78" s="4"/>
      <c r="N78" s="4"/>
    </row>
    <row r="79" spans="1:14" ht="13.5" hidden="1" thickBot="1">
      <c r="A79" s="182">
        <v>42583</v>
      </c>
      <c r="B79" s="91">
        <v>6603157.5200000005</v>
      </c>
      <c r="C79" s="92">
        <v>6779937.1799999997</v>
      </c>
      <c r="D79" s="185">
        <f t="shared" si="6"/>
        <v>0.97392606224708422</v>
      </c>
      <c r="E79" s="435">
        <v>546323.57000000007</v>
      </c>
      <c r="F79" s="436">
        <v>509428.70999999996</v>
      </c>
      <c r="G79" s="304">
        <f t="shared" si="7"/>
        <v>1.072423990395045</v>
      </c>
      <c r="H79" s="1"/>
      <c r="I79" s="29"/>
      <c r="J79" s="287"/>
      <c r="K79" s="4"/>
      <c r="L79" s="4"/>
      <c r="M79" s="4"/>
      <c r="N79" s="4"/>
    </row>
    <row r="80" spans="1:14" ht="13.5" hidden="1" thickBot="1">
      <c r="A80" s="182">
        <v>42614</v>
      </c>
      <c r="B80" s="91">
        <v>6619976.1499999994</v>
      </c>
      <c r="C80" s="92">
        <v>6767983.4300000016</v>
      </c>
      <c r="D80" s="185">
        <f>+B80/C80</f>
        <v>0.97813125851580252</v>
      </c>
      <c r="E80" s="435">
        <v>498161.31</v>
      </c>
      <c r="F80" s="436">
        <v>485720.14999999997</v>
      </c>
      <c r="G80" s="304">
        <f t="shared" si="7"/>
        <v>1.0256138436916813</v>
      </c>
      <c r="H80" s="1"/>
      <c r="I80" s="29"/>
      <c r="J80" s="287"/>
      <c r="K80" s="4"/>
      <c r="L80" s="4"/>
      <c r="M80" s="4"/>
      <c r="N80" s="4"/>
    </row>
    <row r="81" spans="1:14" ht="13.5" hidden="1" thickBot="1">
      <c r="A81" s="182">
        <v>42644</v>
      </c>
      <c r="B81" s="91">
        <v>6615960.1400000006</v>
      </c>
      <c r="C81" s="92">
        <v>6748306.2100000009</v>
      </c>
      <c r="D81" s="185">
        <f t="shared" ref="D81:D98" si="8">+B81/C81</f>
        <v>0.98038825360297333</v>
      </c>
      <c r="E81" s="435">
        <v>501219.29000000004</v>
      </c>
      <c r="F81" s="436">
        <v>489001.32999999996</v>
      </c>
      <c r="G81" s="304">
        <f t="shared" ref="G81:G99" si="9">+E81/F81</f>
        <v>1.0249855353154154</v>
      </c>
      <c r="H81" s="1"/>
      <c r="I81" s="29"/>
      <c r="J81" s="287"/>
      <c r="K81" s="4"/>
      <c r="L81" s="4"/>
      <c r="M81" s="4"/>
      <c r="N81" s="4"/>
    </row>
    <row r="82" spans="1:14" ht="13.5" hidden="1" thickBot="1">
      <c r="A82" s="182">
        <v>42675</v>
      </c>
      <c r="B82" s="91">
        <v>6629228.6500000004</v>
      </c>
      <c r="C82" s="92">
        <v>6745486.5</v>
      </c>
      <c r="D82" s="185">
        <f t="shared" si="8"/>
        <v>0.98276509040526583</v>
      </c>
      <c r="E82" s="435">
        <v>482096.69</v>
      </c>
      <c r="F82" s="436">
        <v>489228.88</v>
      </c>
      <c r="G82" s="304">
        <f t="shared" si="9"/>
        <v>0.98542156791724966</v>
      </c>
      <c r="H82" s="1"/>
      <c r="I82" s="29"/>
      <c r="J82" s="287"/>
      <c r="K82" s="4"/>
      <c r="L82" s="4"/>
      <c r="M82" s="4"/>
      <c r="N82" s="4"/>
    </row>
    <row r="83" spans="1:14" ht="12.75" hidden="1" customHeight="1">
      <c r="A83" s="183">
        <v>42705</v>
      </c>
      <c r="B83" s="263">
        <v>6634447.3200000003</v>
      </c>
      <c r="C83" s="101">
        <v>6689193.8600000003</v>
      </c>
      <c r="D83" s="301">
        <f t="shared" si="8"/>
        <v>0.99181567448248542</v>
      </c>
      <c r="E83" s="426">
        <v>505377.75999999995</v>
      </c>
      <c r="F83" s="425">
        <v>526761.19999999995</v>
      </c>
      <c r="G83" s="860">
        <f t="shared" si="9"/>
        <v>0.95940581804430547</v>
      </c>
      <c r="H83" s="1"/>
      <c r="I83" s="29"/>
      <c r="J83" s="287"/>
      <c r="K83" s="4"/>
      <c r="L83" s="4"/>
      <c r="M83" s="4"/>
      <c r="N83" s="4"/>
    </row>
    <row r="84" spans="1:14" ht="18" hidden="1" customHeight="1">
      <c r="A84" s="220">
        <v>42736</v>
      </c>
      <c r="B84" s="178">
        <v>6641223.7999999998</v>
      </c>
      <c r="C84" s="178">
        <v>6725530.8200000003</v>
      </c>
      <c r="D84" s="1190">
        <f t="shared" si="8"/>
        <v>0.98746462959484282</v>
      </c>
      <c r="E84" s="437">
        <v>532954.22</v>
      </c>
      <c r="F84" s="437">
        <v>622437.77</v>
      </c>
      <c r="G84" s="1145">
        <f t="shared" si="9"/>
        <v>0.85623695361545937</v>
      </c>
      <c r="H84" s="1"/>
      <c r="I84" s="29"/>
      <c r="J84" s="287"/>
      <c r="K84" s="4"/>
      <c r="L84" s="4"/>
      <c r="M84" s="4"/>
      <c r="N84" s="4"/>
    </row>
    <row r="85" spans="1:14" ht="18" hidden="1" customHeight="1">
      <c r="A85" s="182">
        <v>42767</v>
      </c>
      <c r="B85" s="92">
        <v>6769426.7700000005</v>
      </c>
      <c r="C85" s="92">
        <v>6780404.4799999995</v>
      </c>
      <c r="D85" s="1191">
        <f t="shared" si="8"/>
        <v>0.99838096531963838</v>
      </c>
      <c r="E85" s="435">
        <v>756920.21</v>
      </c>
      <c r="F85" s="435">
        <v>683685.45000000007</v>
      </c>
      <c r="G85" s="1146">
        <f t="shared" si="9"/>
        <v>1.1071176225850643</v>
      </c>
      <c r="H85" s="1"/>
      <c r="I85" s="29"/>
      <c r="J85" s="287"/>
      <c r="K85" s="4"/>
      <c r="L85" s="4"/>
      <c r="M85" s="4"/>
      <c r="N85" s="4"/>
    </row>
    <row r="86" spans="1:14" ht="18" hidden="1" customHeight="1">
      <c r="A86" s="183">
        <v>42795</v>
      </c>
      <c r="B86" s="101">
        <v>6743792.46</v>
      </c>
      <c r="C86" s="101">
        <v>6786393.9200000009</v>
      </c>
      <c r="D86" s="1341">
        <f t="shared" si="8"/>
        <v>0.9937225188366311</v>
      </c>
      <c r="E86" s="426">
        <v>654453.11</v>
      </c>
      <c r="F86" s="426">
        <v>661603.85</v>
      </c>
      <c r="G86" s="1342">
        <f t="shared" si="9"/>
        <v>0.98919181017462343</v>
      </c>
      <c r="H86" s="1"/>
      <c r="I86" s="29"/>
      <c r="J86" s="287"/>
      <c r="K86" s="4"/>
      <c r="L86" s="4"/>
      <c r="M86" s="4"/>
      <c r="N86" s="4"/>
    </row>
    <row r="87" spans="1:14" ht="18" hidden="1" customHeight="1">
      <c r="A87" s="1748">
        <v>42826</v>
      </c>
      <c r="B87" s="1749">
        <v>6871304.8600000003</v>
      </c>
      <c r="C87" s="1749">
        <v>6865943.209999999</v>
      </c>
      <c r="D87" s="1750">
        <f t="shared" si="8"/>
        <v>1.0007809050899508</v>
      </c>
      <c r="E87" s="1138">
        <v>753217.16999999993</v>
      </c>
      <c r="F87" s="1138">
        <v>743231.85999999987</v>
      </c>
      <c r="G87" s="1751">
        <f t="shared" si="9"/>
        <v>1.0134349864926404</v>
      </c>
      <c r="H87" s="1"/>
      <c r="I87" s="29"/>
      <c r="J87" s="287"/>
      <c r="K87" s="4"/>
      <c r="L87" s="4"/>
      <c r="M87" s="4"/>
      <c r="N87" s="4"/>
    </row>
    <row r="88" spans="1:14" ht="18" hidden="1" customHeight="1">
      <c r="A88" s="800">
        <v>42856</v>
      </c>
      <c r="B88" s="43">
        <v>6999113.3000000007</v>
      </c>
      <c r="C88" s="43">
        <v>6935921.2300000004</v>
      </c>
      <c r="D88" s="1747">
        <f t="shared" si="8"/>
        <v>1.0091108402048563</v>
      </c>
      <c r="E88" s="431">
        <v>672744.31</v>
      </c>
      <c r="F88" s="431">
        <v>652717.67000000004</v>
      </c>
      <c r="G88" s="1752">
        <f t="shared" si="9"/>
        <v>1.0306819332775226</v>
      </c>
      <c r="H88" s="1"/>
      <c r="I88" s="29"/>
      <c r="J88" s="287"/>
    </row>
    <row r="89" spans="1:14" ht="18" hidden="1" customHeight="1">
      <c r="A89" s="800">
        <v>42887</v>
      </c>
      <c r="B89" s="43">
        <v>7069280.8399999999</v>
      </c>
      <c r="C89" s="43">
        <v>6973199.5799999982</v>
      </c>
      <c r="D89" s="1747">
        <f t="shared" si="8"/>
        <v>1.0137786476491473</v>
      </c>
      <c r="E89" s="431">
        <v>580973.34000000008</v>
      </c>
      <c r="F89" s="431">
        <v>592335.17000000004</v>
      </c>
      <c r="G89" s="1752">
        <f t="shared" si="9"/>
        <v>0.98081857945392648</v>
      </c>
      <c r="H89" s="1"/>
      <c r="I89" s="29"/>
      <c r="J89" s="287"/>
      <c r="K89" s="4"/>
      <c r="L89" s="4"/>
      <c r="M89" s="4"/>
      <c r="N89" s="4"/>
    </row>
    <row r="90" spans="1:14" ht="18" hidden="1" customHeight="1">
      <c r="A90" s="800">
        <v>42917</v>
      </c>
      <c r="B90" s="43">
        <v>7009081.2100000009</v>
      </c>
      <c r="C90" s="43">
        <v>6974660.1599999992</v>
      </c>
      <c r="D90" s="1747">
        <f t="shared" si="8"/>
        <v>1.0049351580163588</v>
      </c>
      <c r="E90" s="431">
        <v>524640.23</v>
      </c>
      <c r="F90" s="431">
        <v>518508.12000000005</v>
      </c>
      <c r="G90" s="1752">
        <f t="shared" si="9"/>
        <v>1.0118264493138505</v>
      </c>
      <c r="H90" s="1"/>
      <c r="I90" s="29"/>
      <c r="J90" s="287"/>
      <c r="K90" s="4"/>
      <c r="L90" s="4"/>
      <c r="M90" s="4"/>
      <c r="N90" s="4"/>
    </row>
    <row r="91" spans="1:14" ht="18" hidden="1" customHeight="1">
      <c r="A91" s="800">
        <v>42948</v>
      </c>
      <c r="B91" s="43">
        <v>6969977.3600000003</v>
      </c>
      <c r="C91" s="43">
        <v>6987110.3900000006</v>
      </c>
      <c r="D91" s="1747">
        <f t="shared" si="8"/>
        <v>0.99754790907203628</v>
      </c>
      <c r="E91" s="431">
        <v>507219.72</v>
      </c>
      <c r="F91" s="431">
        <v>521878.93999999994</v>
      </c>
      <c r="G91" s="1752">
        <f t="shared" si="9"/>
        <v>0.97191068871259689</v>
      </c>
      <c r="H91" s="1"/>
      <c r="I91" s="29"/>
      <c r="J91" s="287"/>
      <c r="K91" s="4"/>
      <c r="L91" s="4"/>
      <c r="M91" s="4"/>
      <c r="N91" s="4"/>
    </row>
    <row r="92" spans="1:14" ht="18" hidden="1" customHeight="1">
      <c r="A92" s="800">
        <v>42979</v>
      </c>
      <c r="B92" s="43">
        <v>6940751.4399999995</v>
      </c>
      <c r="C92" s="43">
        <v>6978451.3000000007</v>
      </c>
      <c r="D92" s="1747">
        <f t="shared" si="8"/>
        <v>0.99459767527502829</v>
      </c>
      <c r="E92" s="431">
        <v>468935.39</v>
      </c>
      <c r="F92" s="431">
        <v>477061.06000000006</v>
      </c>
      <c r="G92" s="1752">
        <f t="shared" si="9"/>
        <v>0.98296723274794207</v>
      </c>
      <c r="H92" s="1"/>
      <c r="I92" s="29"/>
      <c r="J92" s="287"/>
      <c r="K92" s="4"/>
      <c r="L92" s="4"/>
      <c r="M92" s="4"/>
      <c r="N92" s="4"/>
    </row>
    <row r="93" spans="1:14" ht="18" customHeight="1">
      <c r="A93" s="800">
        <v>43009</v>
      </c>
      <c r="B93" s="43">
        <f>SUM(E82:E93)</f>
        <v>6903367.9399999985</v>
      </c>
      <c r="C93" s="43">
        <f>SUM(F82:F93)</f>
        <v>6964935.0200000005</v>
      </c>
      <c r="D93" s="1747">
        <f t="shared" si="8"/>
        <v>0.99116042291518724</v>
      </c>
      <c r="E93" s="43">
        <f>'[4]TRA-130 R'!AG64+'[4]TRA-130 0'!AG64+'[4]TRA-130 I'!AG64+'[4]TRA-130 C'!AG64</f>
        <v>463835.79</v>
      </c>
      <c r="F93" s="43">
        <f>'[4]TRA-130 R'!AF64+'[4]TRA-130 0'!AF64+'[4]TRA-130 I'!AF64+'[4]TRA-130 C'!AF64</f>
        <v>475485.05000000005</v>
      </c>
      <c r="G93" s="1752">
        <f t="shared" si="9"/>
        <v>0.97550026020797065</v>
      </c>
      <c r="H93" s="1"/>
      <c r="I93" s="29"/>
      <c r="J93" s="287"/>
      <c r="K93" s="4"/>
      <c r="L93" s="4"/>
      <c r="M93" s="4"/>
      <c r="N93" s="4"/>
    </row>
    <row r="94" spans="1:14" ht="18" customHeight="1">
      <c r="A94" s="800">
        <v>43040</v>
      </c>
      <c r="B94" s="43">
        <v>6892771.1799999988</v>
      </c>
      <c r="C94" s="43">
        <v>6974605.5699999994</v>
      </c>
      <c r="D94" s="1747">
        <f t="shared" si="8"/>
        <v>0.98826680746621764</v>
      </c>
      <c r="E94" s="431">
        <v>471499.93000000005</v>
      </c>
      <c r="F94" s="431">
        <v>498899.43000000005</v>
      </c>
      <c r="G94" s="1752">
        <f t="shared" si="9"/>
        <v>0.94508011364134048</v>
      </c>
      <c r="H94" s="1"/>
      <c r="I94" s="29"/>
      <c r="J94" s="287"/>
      <c r="K94" s="4"/>
      <c r="L94" s="4"/>
      <c r="M94" s="4"/>
      <c r="N94" s="4"/>
    </row>
    <row r="95" spans="1:14" ht="18" customHeight="1">
      <c r="A95" s="800">
        <v>43070</v>
      </c>
      <c r="B95" s="43">
        <f>SUM(E84:E95)</f>
        <v>6843951.169999999</v>
      </c>
      <c r="C95" s="43">
        <f>SUM(F84:F95)</f>
        <v>6925168.7400000002</v>
      </c>
      <c r="D95" s="1747">
        <f t="shared" si="8"/>
        <v>0.98827211681776272</v>
      </c>
      <c r="E95" s="43">
        <f>'[4]TRA-130 R'!AG66+'[4]TRA-130 0'!AG66+'[4]TRA-130 I'!AG66+'[4]TRA-130 C'!AG66</f>
        <v>456557.75</v>
      </c>
      <c r="F95" s="43">
        <f>'[4]TRA-130 R'!AF66+'[4]TRA-130 0'!AF66+'[4]TRA-130 I'!AF66+'[4]TRA-130 C'!AF66</f>
        <v>477324.36999999994</v>
      </c>
      <c r="G95" s="1752">
        <f t="shared" si="9"/>
        <v>0.9564936942146911</v>
      </c>
      <c r="H95" s="1"/>
      <c r="I95" s="29"/>
      <c r="J95" s="287"/>
      <c r="K95" s="4"/>
      <c r="L95" s="4"/>
      <c r="M95" s="4"/>
      <c r="N95" s="4"/>
    </row>
    <row r="96" spans="1:14" s="1257" customFormat="1" ht="18" customHeight="1">
      <c r="A96" s="800">
        <v>43101</v>
      </c>
      <c r="B96" s="43">
        <v>6849870.2199999988</v>
      </c>
      <c r="C96" s="43">
        <v>6873955.9400000004</v>
      </c>
      <c r="D96" s="1747">
        <f t="shared" si="8"/>
        <v>0.99649609043027976</v>
      </c>
      <c r="E96" s="431">
        <v>538873.27</v>
      </c>
      <c r="F96" s="431">
        <v>571224.97000000009</v>
      </c>
      <c r="G96" s="1752">
        <f t="shared" si="9"/>
        <v>0.94336434557473903</v>
      </c>
      <c r="I96" s="29"/>
      <c r="J96" s="287"/>
      <c r="K96" s="1258"/>
      <c r="L96" s="1258"/>
      <c r="M96" s="1258"/>
      <c r="N96" s="1258"/>
    </row>
    <row r="97" spans="1:14" s="1257" customFormat="1" ht="18" customHeight="1">
      <c r="A97" s="800">
        <v>43132</v>
      </c>
      <c r="B97" s="43">
        <v>6781896.9499999993</v>
      </c>
      <c r="C97" s="43">
        <v>6865591.6499999994</v>
      </c>
      <c r="D97" s="1747">
        <f t="shared" si="8"/>
        <v>0.98780954296925017</v>
      </c>
      <c r="E97" s="431">
        <v>688946.94</v>
      </c>
      <c r="F97" s="431">
        <v>675321.15999999992</v>
      </c>
      <c r="G97" s="1752">
        <f t="shared" si="9"/>
        <v>1.0201767407969269</v>
      </c>
      <c r="I97" s="29"/>
      <c r="J97" s="287"/>
      <c r="K97" s="1258"/>
      <c r="L97" s="1258"/>
      <c r="M97" s="1258"/>
      <c r="N97" s="1258"/>
    </row>
    <row r="98" spans="1:14" s="1257" customFormat="1" ht="18" customHeight="1">
      <c r="A98" s="800">
        <v>43160</v>
      </c>
      <c r="B98" s="43">
        <f>SUM(E87:E98)</f>
        <v>6767575.3499999996</v>
      </c>
      <c r="C98" s="43">
        <f>SUM(F87:F98)</f>
        <v>6847087</v>
      </c>
      <c r="D98" s="1747">
        <f t="shared" si="8"/>
        <v>0.98838752158399623</v>
      </c>
      <c r="E98" s="431">
        <f>'[4]TRA-130 R'!AG69+'[4]TRA-130 0'!AG69+'[4]TRA-130 I'!AG69+'[4]TRA-130 C'!AG69</f>
        <v>640131.51</v>
      </c>
      <c r="F98" s="431">
        <f>'[4]TRA-130 R'!AF69+'[4]TRA-130 0'!AF69+'[4]TRA-130 I'!AF69+'[4]TRA-130 C'!AF69</f>
        <v>643099.19999999995</v>
      </c>
      <c r="G98" s="1752">
        <f t="shared" si="9"/>
        <v>0.99538533091006809</v>
      </c>
      <c r="I98" s="29"/>
      <c r="J98" s="287"/>
      <c r="K98" s="1258"/>
      <c r="L98" s="1258"/>
      <c r="M98" s="1258"/>
      <c r="N98" s="1258"/>
    </row>
    <row r="99" spans="1:14" s="1257" customFormat="1" ht="18" customHeight="1">
      <c r="A99" s="1809">
        <v>43191</v>
      </c>
      <c r="B99" s="2474">
        <v>6678332.1999999993</v>
      </c>
      <c r="C99" s="2474">
        <v>6884705.120000001</v>
      </c>
      <c r="D99" s="1747">
        <v>0.97002443584686138</v>
      </c>
      <c r="E99" s="2474">
        <v>663974.02</v>
      </c>
      <c r="F99" s="2474">
        <v>780849.98</v>
      </c>
      <c r="G99" s="1810">
        <f t="shared" si="9"/>
        <v>0.85032213229998421</v>
      </c>
      <c r="I99" s="29"/>
      <c r="J99" s="287"/>
      <c r="K99" s="1258"/>
      <c r="L99" s="1258"/>
      <c r="M99" s="1258"/>
      <c r="N99" s="1258"/>
    </row>
    <row r="100" spans="1:14" s="2638" customFormat="1" ht="18" customHeight="1">
      <c r="A100" s="2703">
        <v>43221</v>
      </c>
      <c r="B100" s="1808">
        <v>6682014.2100000009</v>
      </c>
      <c r="C100" s="1808">
        <v>6807855.4800000014</v>
      </c>
      <c r="D100" s="2706">
        <v>0.98151528475160865</v>
      </c>
      <c r="E100" s="1808">
        <v>676426.32000000007</v>
      </c>
      <c r="F100" s="1808">
        <v>575868.03</v>
      </c>
      <c r="G100" s="2705">
        <v>1.1746203726572562</v>
      </c>
      <c r="I100" s="2647"/>
      <c r="J100" s="2684"/>
      <c r="K100" s="2639"/>
      <c r="L100" s="2639"/>
      <c r="M100" s="2639"/>
      <c r="N100" s="2639"/>
    </row>
    <row r="101" spans="1:14" s="2638" customFormat="1" ht="18" customHeight="1">
      <c r="A101" s="2702">
        <v>43252</v>
      </c>
      <c r="B101" s="1808">
        <v>6674745.6900000004</v>
      </c>
      <c r="C101" s="1808">
        <v>6791044.46</v>
      </c>
      <c r="D101" s="2706">
        <v>0.98299999999999998</v>
      </c>
      <c r="E101" s="1808">
        <v>573704.81999999995</v>
      </c>
      <c r="F101" s="1808">
        <v>575524.15</v>
      </c>
      <c r="G101" s="2705">
        <v>0.99680000000000002</v>
      </c>
      <c r="I101" s="2647"/>
      <c r="J101" s="2684"/>
      <c r="K101" s="2639"/>
      <c r="L101" s="2639"/>
      <c r="M101" s="2639"/>
      <c r="N101" s="2639"/>
    </row>
    <row r="102" spans="1:14" s="1820" customFormat="1" ht="18" customHeight="1">
      <c r="A102" s="2703">
        <v>43282</v>
      </c>
      <c r="B102" s="1808">
        <v>6682377</v>
      </c>
      <c r="C102" s="1808">
        <v>6808446</v>
      </c>
      <c r="D102" s="2706">
        <f>+B102/C102</f>
        <v>0.98148343983340691</v>
      </c>
      <c r="E102" s="1808">
        <v>532271</v>
      </c>
      <c r="F102" s="1808">
        <v>535910</v>
      </c>
      <c r="G102" s="2705">
        <f>+E102/F102</f>
        <v>0.99320968072997329</v>
      </c>
      <c r="I102" s="29"/>
      <c r="J102" s="287"/>
      <c r="K102" s="1830"/>
      <c r="L102" s="1830"/>
      <c r="M102" s="1830"/>
      <c r="N102" s="1830"/>
    </row>
    <row r="103" spans="1:14" s="2638" customFormat="1" ht="18" customHeight="1">
      <c r="A103" s="2703">
        <v>43313</v>
      </c>
      <c r="B103" s="2648">
        <v>6699618.0999999996</v>
      </c>
      <c r="C103" s="2648">
        <v>6833445.8900000006</v>
      </c>
      <c r="D103" s="2706">
        <f>+B103/C103</f>
        <v>0.9804157679515918</v>
      </c>
      <c r="E103" s="431">
        <v>524461.16999999993</v>
      </c>
      <c r="F103" s="431">
        <v>546878.87999999989</v>
      </c>
      <c r="G103" s="2705">
        <f>+E103/F103</f>
        <v>0.95900790683304504</v>
      </c>
      <c r="I103" s="2647"/>
      <c r="J103" s="2684"/>
      <c r="K103" s="2639"/>
      <c r="L103" s="2639"/>
      <c r="M103" s="2639"/>
      <c r="N103" s="2639"/>
    </row>
    <row r="104" spans="1:14" s="2638" customFormat="1" ht="18" customHeight="1" thickBot="1">
      <c r="A104" s="2702">
        <v>43344</v>
      </c>
      <c r="B104" s="2792">
        <v>6740651</v>
      </c>
      <c r="C104" s="2792">
        <v>6881048</v>
      </c>
      <c r="D104" s="2796">
        <v>0.97960000000000003</v>
      </c>
      <c r="E104" s="431">
        <v>509968</v>
      </c>
      <c r="F104" s="431">
        <v>524663</v>
      </c>
      <c r="G104" s="2795">
        <v>0.97199999999999998</v>
      </c>
      <c r="I104" s="2647"/>
      <c r="J104" s="2684"/>
      <c r="K104" s="2639"/>
      <c r="L104" s="2639"/>
      <c r="M104" s="2639"/>
      <c r="N104" s="2639"/>
    </row>
    <row r="105" spans="1:14" ht="18" customHeight="1" thickBot="1">
      <c r="A105" s="2718" t="s">
        <v>165</v>
      </c>
      <c r="B105" s="2735">
        <f>(B104/B102)-1</f>
        <v>8.7205495888662554E-3</v>
      </c>
      <c r="C105" s="2735">
        <f t="shared" ref="C105:G105" si="10">(C104/C102)-1</f>
        <v>1.0663519986792824E-2</v>
      </c>
      <c r="D105" s="2735">
        <f t="shared" si="10"/>
        <v>-1.9189726051074274E-3</v>
      </c>
      <c r="E105" s="2735">
        <f t="shared" si="10"/>
        <v>-4.1901587725049816E-2</v>
      </c>
      <c r="F105" s="2735">
        <f t="shared" si="10"/>
        <v>-2.0986732846933309E-2</v>
      </c>
      <c r="G105" s="2735">
        <f t="shared" si="10"/>
        <v>-2.1354685864907186E-2</v>
      </c>
      <c r="I105" s="69"/>
      <c r="J105" s="287"/>
      <c r="K105" s="4"/>
      <c r="L105" s="4"/>
      <c r="M105" s="4"/>
      <c r="N105" s="4"/>
    </row>
    <row r="106" spans="1:14" s="4" customFormat="1" ht="13.5" thickBot="1">
      <c r="A106" s="1346"/>
      <c r="B106" s="1343"/>
      <c r="C106" s="1343"/>
      <c r="D106" s="1343"/>
      <c r="E106" s="1344"/>
      <c r="F106" s="1344"/>
      <c r="G106" s="1345"/>
      <c r="I106" s="69"/>
    </row>
    <row r="107" spans="1:14" ht="13.5" thickBot="1">
      <c r="A107" s="3040" t="s">
        <v>53</v>
      </c>
      <c r="B107" s="3041"/>
      <c r="C107" s="3041"/>
      <c r="D107" s="3041"/>
      <c r="E107" s="3041"/>
      <c r="F107" s="3041"/>
      <c r="G107" s="3042"/>
      <c r="I107" s="69"/>
      <c r="J107" s="4"/>
      <c r="K107" s="4"/>
      <c r="L107" s="4"/>
      <c r="M107" s="4"/>
      <c r="N107" s="4"/>
    </row>
    <row r="108" spans="1:14" ht="13.5" thickTop="1">
      <c r="A108" s="4"/>
      <c r="B108" s="4"/>
      <c r="C108" s="4"/>
      <c r="D108" s="4"/>
      <c r="E108" s="73"/>
      <c r="F108" s="73"/>
      <c r="G108" s="4"/>
      <c r="I108" s="69"/>
      <c r="J108" s="4"/>
      <c r="K108" s="4"/>
      <c r="L108" s="4"/>
      <c r="M108" s="4"/>
      <c r="N108" s="4"/>
    </row>
    <row r="109" spans="1:14">
      <c r="A109" s="4"/>
      <c r="B109" s="4"/>
      <c r="C109" s="4"/>
      <c r="D109" s="4"/>
      <c r="E109" s="73"/>
      <c r="F109" s="73"/>
      <c r="G109" s="4"/>
      <c r="I109" s="69"/>
      <c r="J109" s="4"/>
      <c r="K109" s="4"/>
      <c r="L109" s="4"/>
      <c r="M109" s="4"/>
      <c r="N109" s="4"/>
    </row>
    <row r="110" spans="1:14">
      <c r="A110" s="4"/>
      <c r="B110" s="4"/>
      <c r="C110" s="4"/>
      <c r="D110" s="4"/>
      <c r="E110" s="73"/>
      <c r="F110" s="73"/>
      <c r="G110" s="4"/>
      <c r="I110" s="69"/>
      <c r="J110" s="4"/>
      <c r="K110" s="4"/>
      <c r="L110" s="4"/>
      <c r="M110" s="4"/>
      <c r="N110" s="4"/>
    </row>
    <row r="111" spans="1:14">
      <c r="A111" s="4"/>
      <c r="B111" s="4"/>
      <c r="C111" s="4"/>
      <c r="D111" s="4"/>
      <c r="E111" s="73"/>
      <c r="F111" s="73"/>
      <c r="G111" s="4"/>
      <c r="I111" s="69"/>
      <c r="J111" s="4"/>
      <c r="K111" s="4"/>
      <c r="L111" s="4"/>
      <c r="M111" s="4"/>
      <c r="N111" s="4"/>
    </row>
    <row r="112" spans="1:14">
      <c r="A112" s="4"/>
      <c r="B112" s="4"/>
      <c r="C112" s="4"/>
      <c r="D112" s="4"/>
      <c r="E112" s="73"/>
      <c r="F112" s="73"/>
      <c r="G112" s="4"/>
      <c r="I112" s="4"/>
      <c r="J112" s="4"/>
      <c r="K112" s="4"/>
      <c r="L112" s="4"/>
      <c r="M112" s="4"/>
      <c r="N112" s="4"/>
    </row>
    <row r="113" spans="1:14">
      <c r="A113" s="4"/>
      <c r="B113" s="4"/>
      <c r="C113" s="4"/>
      <c r="D113" s="4"/>
      <c r="E113" s="73"/>
      <c r="F113" s="73"/>
      <c r="G113" s="4"/>
      <c r="I113" s="4"/>
      <c r="J113" s="4"/>
      <c r="K113" s="4"/>
      <c r="L113" s="4"/>
      <c r="M113" s="4"/>
      <c r="N113" s="4"/>
    </row>
    <row r="114" spans="1:14">
      <c r="A114" s="4"/>
      <c r="B114" s="4"/>
      <c r="C114" s="4"/>
      <c r="D114" s="4"/>
      <c r="E114" s="73"/>
      <c r="F114" s="73"/>
      <c r="G114" s="4"/>
      <c r="I114" s="4"/>
      <c r="J114" s="4"/>
      <c r="K114" s="4"/>
      <c r="L114" s="4"/>
      <c r="M114" s="4"/>
      <c r="N114" s="4"/>
    </row>
    <row r="115" spans="1:14">
      <c r="A115" s="4"/>
      <c r="B115" s="4"/>
      <c r="C115" s="4"/>
      <c r="D115" s="4"/>
      <c r="E115" s="73"/>
      <c r="F115" s="73"/>
      <c r="G115" s="4"/>
      <c r="I115" s="4"/>
      <c r="J115" s="4"/>
      <c r="K115" s="4"/>
      <c r="L115" s="4"/>
      <c r="M115" s="4"/>
      <c r="N115" s="4"/>
    </row>
    <row r="116" spans="1:14">
      <c r="A116" s="4"/>
      <c r="B116" s="4"/>
      <c r="C116" s="4"/>
      <c r="D116" s="4"/>
      <c r="E116" s="73"/>
      <c r="F116" s="73"/>
      <c r="G116" s="4"/>
      <c r="I116" s="4"/>
      <c r="J116" s="4"/>
      <c r="K116" s="4"/>
      <c r="L116" s="4"/>
      <c r="M116" s="4"/>
      <c r="N116" s="4"/>
    </row>
    <row r="117" spans="1:14">
      <c r="A117" s="4"/>
      <c r="B117" s="4"/>
      <c r="C117" s="4"/>
      <c r="D117" s="4"/>
      <c r="E117" s="73"/>
      <c r="F117" s="73"/>
      <c r="G117" s="4"/>
      <c r="I117" s="4"/>
      <c r="J117" s="4"/>
      <c r="K117" s="4"/>
      <c r="L117" s="4"/>
      <c r="M117" s="4"/>
      <c r="N117" s="4"/>
    </row>
    <row r="118" spans="1:14">
      <c r="A118" s="4"/>
      <c r="B118" s="4"/>
      <c r="C118" s="4"/>
      <c r="D118" s="4"/>
      <c r="E118" s="73"/>
      <c r="F118" s="73"/>
      <c r="G118" s="4"/>
      <c r="I118" s="4"/>
      <c r="J118" s="4"/>
      <c r="K118" s="4"/>
      <c r="L118" s="4"/>
      <c r="M118" s="4"/>
      <c r="N118" s="4"/>
    </row>
    <row r="119" spans="1:14">
      <c r="A119" s="4"/>
      <c r="B119" s="4"/>
      <c r="C119" s="4"/>
      <c r="D119" s="4"/>
      <c r="E119" s="73"/>
      <c r="F119" s="73"/>
      <c r="G119" s="4"/>
      <c r="I119" s="4"/>
      <c r="J119" s="4"/>
      <c r="K119" s="4"/>
      <c r="L119" s="4"/>
      <c r="M119" s="4"/>
      <c r="N119" s="4"/>
    </row>
    <row r="120" spans="1:14">
      <c r="A120" s="4"/>
      <c r="B120" s="4"/>
      <c r="C120" s="4"/>
      <c r="D120" s="4"/>
      <c r="E120" s="73"/>
      <c r="F120" s="73"/>
      <c r="G120" s="4"/>
      <c r="J120" s="4"/>
      <c r="K120" s="4"/>
      <c r="L120" s="4"/>
      <c r="M120" s="4"/>
      <c r="N120" s="4"/>
    </row>
    <row r="121" spans="1:14">
      <c r="A121" s="4"/>
      <c r="B121" s="4"/>
      <c r="C121" s="4"/>
      <c r="D121" s="4"/>
      <c r="E121" s="73"/>
      <c r="F121" s="73"/>
      <c r="G121" s="4"/>
      <c r="J121" s="4"/>
      <c r="K121" s="4"/>
      <c r="L121" s="4"/>
      <c r="M121" s="4"/>
      <c r="N121" s="4"/>
    </row>
    <row r="122" spans="1:14">
      <c r="A122" s="4"/>
      <c r="B122" s="4"/>
      <c r="C122" s="4"/>
      <c r="D122" s="4"/>
      <c r="E122" s="73"/>
      <c r="F122" s="73"/>
      <c r="G122" s="4"/>
      <c r="J122" s="4"/>
      <c r="K122" s="4"/>
      <c r="L122" s="4"/>
      <c r="M122" s="4"/>
      <c r="N122" s="4"/>
    </row>
    <row r="123" spans="1:14">
      <c r="A123" s="4"/>
      <c r="B123" s="4"/>
      <c r="C123" s="4"/>
      <c r="D123" s="4"/>
      <c r="E123" s="73"/>
      <c r="F123" s="73"/>
      <c r="G123" s="4"/>
      <c r="J123" s="4"/>
      <c r="K123" s="4"/>
      <c r="L123" s="4"/>
      <c r="M123" s="4"/>
      <c r="N123" s="4"/>
    </row>
    <row r="124" spans="1:14">
      <c r="A124" s="4"/>
      <c r="B124" s="4"/>
      <c r="C124" s="4"/>
      <c r="D124" s="4"/>
      <c r="E124" s="73"/>
      <c r="F124" s="73"/>
      <c r="G124" s="4"/>
      <c r="J124" s="4"/>
      <c r="K124" s="4"/>
      <c r="L124" s="4"/>
      <c r="M124" s="4"/>
      <c r="N124" s="4"/>
    </row>
    <row r="125" spans="1:14">
      <c r="A125" s="4"/>
      <c r="B125" s="4"/>
      <c r="C125" s="4"/>
      <c r="D125" s="4"/>
      <c r="E125" s="73"/>
      <c r="F125" s="73"/>
      <c r="G125" s="4"/>
    </row>
    <row r="126" spans="1:14">
      <c r="A126" s="4"/>
      <c r="B126" s="4"/>
      <c r="C126" s="4"/>
      <c r="D126" s="4"/>
      <c r="E126" s="73"/>
      <c r="F126" s="73"/>
      <c r="G126" s="4"/>
    </row>
    <row r="127" spans="1:14">
      <c r="A127" s="4"/>
      <c r="B127" s="4"/>
      <c r="C127" s="4"/>
      <c r="D127" s="4"/>
      <c r="E127" s="73"/>
      <c r="F127" s="73"/>
      <c r="G127" s="4"/>
    </row>
    <row r="128" spans="1:14">
      <c r="A128" s="51"/>
      <c r="B128" s="4"/>
      <c r="C128" s="4"/>
      <c r="D128" s="4"/>
      <c r="E128" s="73"/>
      <c r="F128" s="73"/>
      <c r="G128" s="4"/>
    </row>
    <row r="129" spans="1:7">
      <c r="A129" s="51"/>
      <c r="B129" s="4"/>
      <c r="C129" s="4"/>
      <c r="D129" s="4"/>
      <c r="E129" s="73"/>
      <c r="F129" s="73"/>
      <c r="G129" s="4"/>
    </row>
    <row r="130" spans="1:7">
      <c r="A130" s="4"/>
      <c r="B130" s="4"/>
      <c r="C130" s="4"/>
      <c r="D130" s="4"/>
      <c r="E130" s="73"/>
      <c r="F130" s="73"/>
      <c r="G130" s="4"/>
    </row>
    <row r="131" spans="1:7">
      <c r="A131" s="4"/>
      <c r="B131" s="4"/>
      <c r="C131" s="4"/>
      <c r="D131" s="4"/>
      <c r="E131" s="73"/>
      <c r="F131" s="73"/>
      <c r="G131" s="4"/>
    </row>
    <row r="427" spans="1:10">
      <c r="I427" s="42"/>
      <c r="J427" s="64"/>
    </row>
    <row r="428" spans="1:10">
      <c r="A428" s="97"/>
      <c r="B428" s="42"/>
      <c r="C428" s="42"/>
      <c r="D428" s="42"/>
      <c r="E428" s="439"/>
      <c r="F428" s="439"/>
      <c r="G428" s="42"/>
      <c r="H428" s="42"/>
      <c r="I428" s="4"/>
      <c r="J428" s="52"/>
    </row>
    <row r="429" spans="1:10">
      <c r="A429" s="51"/>
      <c r="B429" s="4"/>
      <c r="C429" s="4"/>
      <c r="D429" s="4"/>
      <c r="E429" s="73"/>
      <c r="F429" s="73"/>
      <c r="G429" s="4"/>
      <c r="I429" s="4"/>
      <c r="J429" s="52"/>
    </row>
    <row r="430" spans="1:10">
      <c r="A430" s="51"/>
      <c r="B430" s="4"/>
      <c r="C430" s="4"/>
      <c r="D430" s="4"/>
      <c r="E430" s="73"/>
      <c r="F430" s="73"/>
      <c r="G430" s="4"/>
      <c r="I430" s="4"/>
      <c r="J430" s="52"/>
    </row>
    <row r="431" spans="1:10">
      <c r="A431" s="51"/>
      <c r="B431" s="4"/>
      <c r="C431" s="4"/>
      <c r="D431" s="4"/>
      <c r="E431" s="73"/>
      <c r="F431" s="73"/>
      <c r="G431" s="4"/>
      <c r="I431" s="4"/>
      <c r="J431" s="52"/>
    </row>
    <row r="432" spans="1:10">
      <c r="A432" s="51"/>
      <c r="B432" s="4"/>
      <c r="C432" s="4"/>
      <c r="D432" s="4"/>
      <c r="E432" s="73"/>
      <c r="F432" s="73"/>
      <c r="G432" s="4"/>
      <c r="I432" s="4"/>
      <c r="J432" s="52"/>
    </row>
    <row r="433" spans="1:10">
      <c r="A433" s="51"/>
      <c r="B433" s="4"/>
      <c r="C433" s="4"/>
      <c r="D433" s="4"/>
      <c r="E433" s="73"/>
      <c r="F433" s="73"/>
      <c r="G433" s="4"/>
      <c r="I433" s="4"/>
      <c r="J433" s="52"/>
    </row>
    <row r="434" spans="1:10">
      <c r="A434" s="51"/>
      <c r="B434" s="4"/>
      <c r="C434" s="4"/>
      <c r="D434" s="4"/>
      <c r="E434" s="73"/>
      <c r="F434" s="73"/>
      <c r="G434" s="4"/>
      <c r="I434" s="4"/>
      <c r="J434" s="52"/>
    </row>
    <row r="435" spans="1:10">
      <c r="A435" s="51"/>
      <c r="B435" s="4"/>
      <c r="C435" s="4"/>
      <c r="D435" s="4"/>
      <c r="E435" s="73"/>
      <c r="F435" s="73"/>
      <c r="G435" s="4"/>
      <c r="I435" s="4"/>
      <c r="J435" s="52"/>
    </row>
    <row r="436" spans="1:10">
      <c r="A436" s="51"/>
      <c r="B436" s="4"/>
      <c r="C436" s="4"/>
      <c r="D436" s="4"/>
      <c r="E436" s="73"/>
      <c r="F436" s="73"/>
      <c r="G436" s="4"/>
      <c r="I436" s="4"/>
      <c r="J436" s="52"/>
    </row>
    <row r="437" spans="1:10">
      <c r="A437" s="51"/>
      <c r="B437" s="4"/>
      <c r="C437" s="4"/>
      <c r="D437" s="4"/>
      <c r="E437" s="73"/>
      <c r="F437" s="73"/>
      <c r="G437" s="4"/>
      <c r="I437" s="4"/>
      <c r="J437" s="52"/>
    </row>
    <row r="438" spans="1:10">
      <c r="A438" s="51"/>
      <c r="B438" s="4"/>
      <c r="C438" s="4"/>
      <c r="D438" s="4"/>
      <c r="E438" s="73"/>
      <c r="F438" s="73"/>
      <c r="G438" s="4"/>
      <c r="I438" s="4"/>
      <c r="J438" s="52"/>
    </row>
    <row r="439" spans="1:10">
      <c r="A439" s="51"/>
      <c r="B439" s="4"/>
      <c r="C439" s="4"/>
      <c r="D439" s="4"/>
      <c r="E439" s="73"/>
      <c r="F439" s="73"/>
      <c r="G439" s="4"/>
      <c r="I439" s="4"/>
      <c r="J439" s="52"/>
    </row>
    <row r="440" spans="1:10">
      <c r="A440" s="51"/>
      <c r="B440" s="4"/>
      <c r="C440" s="4"/>
      <c r="D440" s="4"/>
      <c r="E440" s="73"/>
      <c r="F440" s="73"/>
      <c r="G440" s="4"/>
      <c r="I440" s="4"/>
      <c r="J440" s="52"/>
    </row>
    <row r="441" spans="1:10">
      <c r="A441" s="51"/>
      <c r="B441" s="4"/>
      <c r="C441" s="4"/>
      <c r="D441" s="4"/>
      <c r="E441" s="73"/>
      <c r="F441" s="73"/>
      <c r="G441" s="4"/>
      <c r="I441" s="4"/>
      <c r="J441" s="52"/>
    </row>
    <row r="442" spans="1:10">
      <c r="A442" s="51"/>
      <c r="B442" s="4"/>
      <c r="C442" s="4"/>
      <c r="D442" s="4"/>
      <c r="E442" s="73"/>
      <c r="F442" s="73"/>
      <c r="G442" s="4"/>
      <c r="I442" s="4"/>
      <c r="J442" s="52"/>
    </row>
    <row r="443" spans="1:10">
      <c r="A443" s="51"/>
      <c r="B443" s="4"/>
      <c r="C443" s="4"/>
      <c r="D443" s="4"/>
      <c r="E443" s="73"/>
      <c r="F443" s="73"/>
      <c r="G443" s="4"/>
      <c r="I443" s="4"/>
      <c r="J443" s="52"/>
    </row>
    <row r="444" spans="1:10">
      <c r="A444" s="51"/>
      <c r="B444" s="4"/>
      <c r="C444" s="4"/>
      <c r="D444" s="4"/>
      <c r="E444" s="73"/>
      <c r="F444" s="73"/>
      <c r="G444" s="4"/>
      <c r="I444" s="4"/>
      <c r="J444" s="52"/>
    </row>
    <row r="445" spans="1:10">
      <c r="A445" s="51"/>
      <c r="B445" s="4"/>
      <c r="C445" s="4"/>
      <c r="D445" s="4"/>
      <c r="E445" s="73"/>
      <c r="F445" s="73"/>
      <c r="G445" s="4"/>
      <c r="I445" s="4"/>
      <c r="J445" s="52"/>
    </row>
    <row r="446" spans="1:10">
      <c r="A446" s="51"/>
      <c r="B446" s="4"/>
      <c r="C446" s="4"/>
      <c r="D446" s="4"/>
      <c r="E446" s="73"/>
      <c r="F446" s="73"/>
      <c r="G446" s="4"/>
      <c r="I446" s="4"/>
      <c r="J446" s="52"/>
    </row>
    <row r="447" spans="1:10">
      <c r="A447" s="51"/>
      <c r="B447" s="4"/>
      <c r="C447" s="4"/>
      <c r="D447" s="4"/>
      <c r="E447" s="73"/>
      <c r="F447" s="73"/>
      <c r="G447" s="4"/>
      <c r="I447" s="40"/>
      <c r="J447" s="54"/>
    </row>
    <row r="448" spans="1:10">
      <c r="A448" s="53"/>
      <c r="B448" s="40"/>
      <c r="C448" s="40"/>
      <c r="D448" s="40"/>
      <c r="E448" s="440"/>
      <c r="F448" s="440"/>
      <c r="G448" s="40"/>
      <c r="H448" s="40"/>
    </row>
  </sheetData>
  <mergeCells count="10">
    <mergeCell ref="A107:G107"/>
    <mergeCell ref="A1:G1"/>
    <mergeCell ref="C2:F2"/>
    <mergeCell ref="C3:G3"/>
    <mergeCell ref="C8:G8"/>
    <mergeCell ref="A10:A11"/>
    <mergeCell ref="C4:G4"/>
    <mergeCell ref="C5:G5"/>
    <mergeCell ref="C6:G6"/>
    <mergeCell ref="C7:G7"/>
  </mergeCells>
  <printOptions horizontalCentered="1" verticalCentered="1"/>
  <pageMargins left="0.78740157480314965" right="0.78740157480314965" top="0.39370078740157483" bottom="0.19685039370078741" header="0.31496062992125984" footer="0.31496062992125984"/>
  <pageSetup paperSize="9" orientation="portrait" r:id="rId1"/>
  <ignoredErrors>
    <ignoredError sqref="G66" evalError="1"/>
    <ignoredError sqref="B47:C63 B64:C64"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rgb="FFFFFF00"/>
  </sheetPr>
  <dimension ref="A1:BE424"/>
  <sheetViews>
    <sheetView showGridLines="0" view="pageBreakPreview" topLeftCell="A11" zoomScaleNormal="85" zoomScaleSheetLayoutView="100" workbookViewId="0">
      <selection activeCell="H79" sqref="H79"/>
    </sheetView>
  </sheetViews>
  <sheetFormatPr baseColWidth="10" defaultColWidth="12" defaultRowHeight="12.75"/>
  <cols>
    <col min="1" max="5" width="13.83203125" style="1" customWidth="1"/>
    <col min="6" max="6" width="14.6640625" style="1" bestFit="1" customWidth="1"/>
    <col min="7" max="7" width="13.1640625" style="1" bestFit="1" customWidth="1"/>
    <col min="8" max="8" width="14.1640625" style="4" bestFit="1" customWidth="1"/>
    <col min="9" max="9" width="20.1640625" style="1" bestFit="1" customWidth="1"/>
    <col min="10" max="10" width="14" style="1" customWidth="1"/>
    <col min="11" max="11" width="12" style="1"/>
    <col min="12" max="12" width="14.1640625" style="1" hidden="1" customWidth="1"/>
    <col min="13" max="16" width="0" style="1" hidden="1" customWidth="1"/>
    <col min="17" max="17" width="12" style="223"/>
    <col min="18" max="16384" width="12" style="1"/>
  </cols>
  <sheetData>
    <row r="1" spans="1:37" ht="30" customHeight="1" thickBot="1">
      <c r="A1" s="3032" t="s">
        <v>7</v>
      </c>
      <c r="B1" s="3033"/>
      <c r="C1" s="3033"/>
      <c r="D1" s="3033"/>
      <c r="E1" s="3033"/>
      <c r="F1" s="3033"/>
      <c r="G1" s="3034"/>
      <c r="I1" s="42"/>
      <c r="J1" s="42"/>
      <c r="K1" s="42"/>
      <c r="L1" s="42"/>
      <c r="M1" s="42"/>
      <c r="N1" s="4"/>
      <c r="O1" s="4"/>
    </row>
    <row r="2" spans="1:37" s="3" customFormat="1" ht="24" customHeight="1">
      <c r="A2" s="224" t="s">
        <v>18</v>
      </c>
      <c r="B2" s="225"/>
      <c r="C2" s="3035" t="s">
        <v>27</v>
      </c>
      <c r="D2" s="3003"/>
      <c r="E2" s="3003"/>
      <c r="F2" s="3004"/>
      <c r="G2" s="213" t="s">
        <v>138</v>
      </c>
      <c r="H2" s="62"/>
      <c r="I2" s="62"/>
      <c r="J2" s="62"/>
      <c r="K2" s="62"/>
      <c r="L2" s="62"/>
      <c r="M2" s="62"/>
      <c r="N2" s="62"/>
      <c r="O2" s="62"/>
    </row>
    <row r="3" spans="1:37" s="3" customFormat="1" ht="36" customHeight="1">
      <c r="A3" s="226" t="s">
        <v>17</v>
      </c>
      <c r="B3" s="49"/>
      <c r="C3" s="3011" t="s">
        <v>28</v>
      </c>
      <c r="D3" s="3012"/>
      <c r="E3" s="3012"/>
      <c r="F3" s="3012"/>
      <c r="G3" s="3013"/>
      <c r="H3" s="62"/>
      <c r="I3" s="62"/>
      <c r="J3" s="62"/>
      <c r="K3" s="62"/>
      <c r="L3" s="62"/>
      <c r="M3" s="62"/>
      <c r="N3" s="62"/>
      <c r="O3" s="62"/>
    </row>
    <row r="4" spans="1:37" s="3" customFormat="1" ht="24" customHeight="1">
      <c r="A4" s="226" t="s">
        <v>8</v>
      </c>
      <c r="B4" s="49"/>
      <c r="C4" s="3017" t="s">
        <v>234</v>
      </c>
      <c r="D4" s="3018"/>
      <c r="E4" s="3018"/>
      <c r="F4" s="3018"/>
      <c r="G4" s="3019"/>
      <c r="H4" s="62"/>
      <c r="I4" s="62"/>
      <c r="J4" s="62"/>
      <c r="K4" s="62"/>
      <c r="L4" s="62"/>
      <c r="M4" s="62"/>
      <c r="N4" s="62"/>
      <c r="O4" s="62"/>
    </row>
    <row r="5" spans="1:37" s="3" customFormat="1" ht="24" customHeight="1">
      <c r="A5" s="226" t="s">
        <v>61</v>
      </c>
      <c r="B5" s="49"/>
      <c r="C5" s="3061" t="s">
        <v>229</v>
      </c>
      <c r="D5" s="3062"/>
      <c r="E5" s="3062"/>
      <c r="F5" s="3062"/>
      <c r="G5" s="3063"/>
      <c r="H5" s="62"/>
      <c r="I5" s="62"/>
      <c r="J5" s="62"/>
      <c r="K5" s="62"/>
      <c r="L5" s="62"/>
      <c r="M5" s="62"/>
      <c r="N5" s="62"/>
      <c r="O5" s="62"/>
    </row>
    <row r="6" spans="1:37" s="3" customFormat="1" ht="36" customHeight="1">
      <c r="A6" s="226" t="s">
        <v>11</v>
      </c>
      <c r="B6" s="49"/>
      <c r="C6" s="3011" t="s">
        <v>169</v>
      </c>
      <c r="D6" s="3012"/>
      <c r="E6" s="3012"/>
      <c r="F6" s="3012"/>
      <c r="G6" s="3013"/>
      <c r="H6" s="62"/>
      <c r="I6" s="62"/>
      <c r="J6" s="62"/>
      <c r="K6" s="72"/>
      <c r="L6" s="4"/>
      <c r="M6" s="73"/>
      <c r="N6" s="4"/>
      <c r="O6" s="72"/>
    </row>
    <row r="7" spans="1:37" s="3" customFormat="1" ht="24" customHeight="1">
      <c r="A7" s="226" t="s">
        <v>16</v>
      </c>
      <c r="B7" s="49"/>
      <c r="C7" s="3017" t="s">
        <v>12</v>
      </c>
      <c r="D7" s="3018"/>
      <c r="E7" s="3018"/>
      <c r="F7" s="3018"/>
      <c r="G7" s="3019"/>
      <c r="H7" s="62"/>
      <c r="I7" s="62"/>
      <c r="J7" s="62"/>
      <c r="K7" s="62"/>
      <c r="L7" s="62"/>
      <c r="M7" s="62"/>
      <c r="N7" s="62"/>
      <c r="O7" s="62"/>
      <c r="AK7" s="37"/>
    </row>
    <row r="8" spans="1:37" s="3" customFormat="1" ht="24" customHeight="1">
      <c r="A8" s="227" t="s">
        <v>9</v>
      </c>
      <c r="B8" s="61"/>
      <c r="C8" s="3017" t="s">
        <v>700</v>
      </c>
      <c r="D8" s="3018"/>
      <c r="E8" s="3018"/>
      <c r="F8" s="3018"/>
      <c r="G8" s="3019"/>
      <c r="H8" s="62"/>
      <c r="I8" s="62"/>
      <c r="J8" s="62"/>
      <c r="K8" s="62"/>
      <c r="L8" s="62"/>
      <c r="M8" s="62"/>
      <c r="N8" s="62"/>
      <c r="O8" s="62"/>
    </row>
    <row r="9" spans="1:37" s="3" customFormat="1" ht="24" customHeight="1" thickBot="1">
      <c r="A9" s="228" t="s">
        <v>21</v>
      </c>
      <c r="B9" s="148"/>
      <c r="C9" s="3046"/>
      <c r="D9" s="3047"/>
      <c r="E9" s="3047"/>
      <c r="F9" s="3047"/>
      <c r="G9" s="3048"/>
      <c r="H9" s="62"/>
      <c r="I9" s="62"/>
      <c r="J9" s="4"/>
      <c r="K9" s="4"/>
      <c r="L9" s="4"/>
      <c r="M9" s="4"/>
      <c r="N9" s="4"/>
      <c r="O9" s="4"/>
    </row>
    <row r="10" spans="1:37" s="4" customFormat="1" ht="13.5" thickBot="1">
      <c r="A10" s="144"/>
      <c r="B10" s="145"/>
      <c r="C10" s="145"/>
      <c r="D10" s="145"/>
      <c r="E10" s="145"/>
      <c r="F10" s="145"/>
      <c r="G10" s="145"/>
      <c r="K10" s="1"/>
      <c r="Q10" s="73"/>
    </row>
    <row r="11" spans="1:37" ht="15.75" customHeight="1" thickBot="1">
      <c r="A11" s="3056" t="s">
        <v>52</v>
      </c>
      <c r="B11" s="3058" t="s">
        <v>29</v>
      </c>
      <c r="C11" s="3059"/>
      <c r="D11" s="3060"/>
      <c r="E11" s="3064" t="s">
        <v>57</v>
      </c>
      <c r="F11" s="3065"/>
      <c r="G11" s="3066"/>
      <c r="I11" s="4"/>
      <c r="J11" s="4"/>
      <c r="K11" s="4"/>
      <c r="L11" s="4"/>
      <c r="M11" s="4"/>
      <c r="N11" s="4"/>
      <c r="O11" s="4"/>
    </row>
    <row r="12" spans="1:37" ht="24.75" thickBot="1">
      <c r="A12" s="3057"/>
      <c r="B12" s="1692" t="s">
        <v>54</v>
      </c>
      <c r="C12" s="1692" t="s">
        <v>55</v>
      </c>
      <c r="D12" s="1692" t="s">
        <v>5</v>
      </c>
      <c r="E12" s="1692" t="s">
        <v>54</v>
      </c>
      <c r="F12" s="1692" t="s">
        <v>268</v>
      </c>
      <c r="G12" s="1692" t="s">
        <v>5</v>
      </c>
      <c r="I12" s="4"/>
      <c r="J12" s="2"/>
      <c r="K12" s="4"/>
      <c r="L12" s="4">
        <v>251703.00999999998</v>
      </c>
      <c r="M12" s="71">
        <v>299134.77999999997</v>
      </c>
      <c r="N12" s="4"/>
      <c r="O12" s="4">
        <f>L12/12</f>
        <v>20975.250833333332</v>
      </c>
    </row>
    <row r="13" spans="1:37" hidden="1">
      <c r="A13" s="366">
        <v>41275</v>
      </c>
      <c r="B13" s="308">
        <v>263</v>
      </c>
      <c r="C13" s="308">
        <v>8994</v>
      </c>
      <c r="D13" s="308">
        <f t="shared" ref="D13:D19" si="0">+B13+C13</f>
        <v>9257</v>
      </c>
      <c r="E13" s="222">
        <v>10569.54</v>
      </c>
      <c r="F13" s="221">
        <v>13390.76</v>
      </c>
      <c r="G13" s="230">
        <f t="shared" ref="G13:G26" si="1">+E13+F13</f>
        <v>23960.300000000003</v>
      </c>
      <c r="I13" s="2"/>
      <c r="J13" s="2"/>
      <c r="K13" s="4"/>
      <c r="L13" s="4">
        <v>268170</v>
      </c>
      <c r="M13" s="71">
        <v>302601.57</v>
      </c>
      <c r="N13" s="4"/>
      <c r="O13" s="4">
        <f t="shared" ref="O13:O26" si="2">L13/12</f>
        <v>22347.5</v>
      </c>
    </row>
    <row r="14" spans="1:37" hidden="1">
      <c r="A14" s="367">
        <v>41306</v>
      </c>
      <c r="B14" s="309">
        <v>262</v>
      </c>
      <c r="C14" s="309">
        <v>9020</v>
      </c>
      <c r="D14" s="309">
        <f t="shared" si="0"/>
        <v>9282</v>
      </c>
      <c r="E14" s="5">
        <v>18675.32</v>
      </c>
      <c r="F14" s="79">
        <v>16816</v>
      </c>
      <c r="G14" s="231">
        <f t="shared" si="1"/>
        <v>35491.32</v>
      </c>
      <c r="I14" s="2"/>
      <c r="J14" s="2"/>
      <c r="K14" s="4"/>
      <c r="L14" s="4">
        <v>332669.93999899999</v>
      </c>
      <c r="M14" s="71">
        <v>337104.73</v>
      </c>
      <c r="N14" s="4"/>
      <c r="O14" s="4">
        <f t="shared" si="2"/>
        <v>27722.494999916667</v>
      </c>
    </row>
    <row r="15" spans="1:37" hidden="1">
      <c r="A15" s="367">
        <v>41334</v>
      </c>
      <c r="B15" s="309">
        <v>313</v>
      </c>
      <c r="C15" s="309">
        <v>9021</v>
      </c>
      <c r="D15" s="309">
        <f t="shared" si="0"/>
        <v>9334</v>
      </c>
      <c r="E15" s="5">
        <v>9145.18</v>
      </c>
      <c r="F15" s="79">
        <v>20791.75</v>
      </c>
      <c r="G15" s="231">
        <f t="shared" si="1"/>
        <v>29936.93</v>
      </c>
      <c r="I15" s="2"/>
      <c r="J15" s="2"/>
      <c r="K15" s="4"/>
      <c r="L15" s="4">
        <v>356991.14999999997</v>
      </c>
      <c r="M15" s="71">
        <v>349057.78</v>
      </c>
      <c r="N15" s="4"/>
      <c r="O15" s="4">
        <f t="shared" si="2"/>
        <v>29749.262499999997</v>
      </c>
    </row>
    <row r="16" spans="1:37" hidden="1">
      <c r="A16" s="367">
        <v>41365</v>
      </c>
      <c r="B16" s="309">
        <v>312</v>
      </c>
      <c r="C16" s="309">
        <v>9076</v>
      </c>
      <c r="D16" s="309">
        <f t="shared" si="0"/>
        <v>9388</v>
      </c>
      <c r="E16" s="5">
        <v>2203.5500000000002</v>
      </c>
      <c r="F16" s="79">
        <v>17788.95</v>
      </c>
      <c r="G16" s="231">
        <f t="shared" si="1"/>
        <v>19992.5</v>
      </c>
      <c r="I16" s="2"/>
      <c r="J16" s="2"/>
      <c r="K16" s="4"/>
      <c r="L16" s="4">
        <v>354908.25</v>
      </c>
      <c r="M16" s="71">
        <v>299448.82</v>
      </c>
      <c r="N16" s="4"/>
      <c r="O16" s="4">
        <f t="shared" si="2"/>
        <v>29575.6875</v>
      </c>
    </row>
    <row r="17" spans="1:57" hidden="1">
      <c r="A17" s="367">
        <v>41395</v>
      </c>
      <c r="B17" s="309">
        <v>313</v>
      </c>
      <c r="C17" s="309">
        <v>9097</v>
      </c>
      <c r="D17" s="309">
        <f t="shared" si="0"/>
        <v>9410</v>
      </c>
      <c r="E17" s="5">
        <v>1784.6899999999998</v>
      </c>
      <c r="F17" s="79">
        <v>14325.520000000002</v>
      </c>
      <c r="G17" s="231">
        <f t="shared" si="1"/>
        <v>16110.210000000003</v>
      </c>
      <c r="I17" s="2"/>
      <c r="J17" s="2"/>
      <c r="K17" s="4"/>
      <c r="L17" s="4">
        <v>287012.69999999995</v>
      </c>
      <c r="M17" s="71">
        <v>284833.42</v>
      </c>
      <c r="N17" s="4"/>
      <c r="O17" s="4">
        <f t="shared" si="2"/>
        <v>23917.724999999995</v>
      </c>
    </row>
    <row r="18" spans="1:57" hidden="1">
      <c r="A18" s="367">
        <v>41426</v>
      </c>
      <c r="B18" s="309">
        <v>313</v>
      </c>
      <c r="C18" s="309">
        <v>9097</v>
      </c>
      <c r="D18" s="309">
        <f t="shared" si="0"/>
        <v>9410</v>
      </c>
      <c r="E18" s="5">
        <v>1957.66</v>
      </c>
      <c r="F18" s="79">
        <v>18010.759999999998</v>
      </c>
      <c r="G18" s="231">
        <f t="shared" si="1"/>
        <v>19968.419999999998</v>
      </c>
      <c r="I18" s="2"/>
      <c r="J18" s="2"/>
      <c r="K18" s="4"/>
      <c r="L18" s="33">
        <v>297732.17</v>
      </c>
      <c r="M18" s="71">
        <v>261070.69</v>
      </c>
      <c r="N18" s="4"/>
      <c r="O18" s="4">
        <f t="shared" si="2"/>
        <v>24811.014166666664</v>
      </c>
      <c r="BE18" s="104">
        <v>0</v>
      </c>
    </row>
    <row r="19" spans="1:57" hidden="1">
      <c r="A19" s="367">
        <v>41456</v>
      </c>
      <c r="B19" s="309">
        <v>310</v>
      </c>
      <c r="C19" s="309">
        <v>9190</v>
      </c>
      <c r="D19" s="309">
        <f t="shared" si="0"/>
        <v>9500</v>
      </c>
      <c r="E19" s="5">
        <v>2727.4</v>
      </c>
      <c r="F19" s="79">
        <v>14146.6</v>
      </c>
      <c r="G19" s="231">
        <f t="shared" si="1"/>
        <v>16874</v>
      </c>
      <c r="I19" s="2"/>
      <c r="J19" s="2"/>
      <c r="K19" s="4"/>
      <c r="L19" s="33">
        <v>256617.34</v>
      </c>
      <c r="M19" s="71">
        <v>260155.65</v>
      </c>
      <c r="N19" s="4"/>
      <c r="O19" s="4">
        <f t="shared" si="2"/>
        <v>21384.778333333332</v>
      </c>
    </row>
    <row r="20" spans="1:57" hidden="1">
      <c r="A20" s="367">
        <v>41487</v>
      </c>
      <c r="B20" s="309">
        <v>313</v>
      </c>
      <c r="C20" s="309">
        <v>9227</v>
      </c>
      <c r="D20" s="308">
        <f t="shared" ref="D20:D25" si="3">B20+C20</f>
        <v>9540</v>
      </c>
      <c r="E20" s="5">
        <v>4924.05</v>
      </c>
      <c r="F20" s="311">
        <v>12836.140000000001</v>
      </c>
      <c r="G20" s="314">
        <f t="shared" si="1"/>
        <v>17760.190000000002</v>
      </c>
      <c r="I20" s="2"/>
      <c r="J20" s="28"/>
      <c r="K20" s="4"/>
      <c r="L20" s="33">
        <v>246594.07</v>
      </c>
      <c r="M20" s="71">
        <v>247467.34999999998</v>
      </c>
      <c r="N20" s="4"/>
      <c r="O20" s="4">
        <f t="shared" si="2"/>
        <v>20549.505833333333</v>
      </c>
    </row>
    <row r="21" spans="1:57" hidden="1">
      <c r="A21" s="367">
        <v>41518</v>
      </c>
      <c r="B21" s="309">
        <v>313</v>
      </c>
      <c r="C21" s="309">
        <v>9274</v>
      </c>
      <c r="D21" s="309">
        <f t="shared" si="3"/>
        <v>9587</v>
      </c>
      <c r="E21" s="5">
        <v>1189.95</v>
      </c>
      <c r="F21" s="311">
        <v>13723.609999999999</v>
      </c>
      <c r="G21" s="315">
        <f t="shared" si="1"/>
        <v>14913.56</v>
      </c>
      <c r="H21" s="73"/>
      <c r="I21" s="28"/>
      <c r="J21" s="270"/>
      <c r="K21" s="4"/>
      <c r="L21" s="33">
        <v>242734.43</v>
      </c>
      <c r="M21" s="71">
        <v>250432.81999999998</v>
      </c>
      <c r="N21" s="4"/>
      <c r="O21" s="4">
        <f t="shared" si="2"/>
        <v>20227.869166666667</v>
      </c>
    </row>
    <row r="22" spans="1:57" hidden="1">
      <c r="A22" s="367">
        <v>41548</v>
      </c>
      <c r="B22" s="309">
        <v>311</v>
      </c>
      <c r="C22" s="309">
        <v>9317</v>
      </c>
      <c r="D22" s="309">
        <f t="shared" si="3"/>
        <v>9628</v>
      </c>
      <c r="E22" s="5">
        <v>1808.18</v>
      </c>
      <c r="F22" s="311">
        <v>15178.22</v>
      </c>
      <c r="G22" s="315">
        <f t="shared" si="1"/>
        <v>16986.399999999998</v>
      </c>
      <c r="H22" s="73"/>
      <c r="I22" s="270"/>
      <c r="J22" s="270"/>
      <c r="K22" s="4"/>
      <c r="L22" s="33">
        <v>243969.91999999998</v>
      </c>
      <c r="M22" s="71">
        <v>267457.50000000006</v>
      </c>
      <c r="N22" s="4"/>
      <c r="O22" s="4">
        <f t="shared" si="2"/>
        <v>20330.826666666664</v>
      </c>
    </row>
    <row r="23" spans="1:57" hidden="1">
      <c r="A23" s="367">
        <v>41579</v>
      </c>
      <c r="B23" s="1693">
        <v>305</v>
      </c>
      <c r="C23" s="1693">
        <v>9366</v>
      </c>
      <c r="D23" s="309">
        <f t="shared" si="3"/>
        <v>9671</v>
      </c>
      <c r="E23" s="5">
        <v>2144.56</v>
      </c>
      <c r="F23" s="311">
        <v>15044.2</v>
      </c>
      <c r="G23" s="315">
        <f t="shared" si="1"/>
        <v>17188.760000000002</v>
      </c>
      <c r="H23" s="102"/>
      <c r="I23" s="270"/>
      <c r="J23" s="270"/>
      <c r="K23" s="4"/>
      <c r="L23" s="33">
        <v>380758.35999999993</v>
      </c>
      <c r="M23" s="71">
        <v>397297.33999999997</v>
      </c>
      <c r="N23" s="4"/>
      <c r="O23" s="4">
        <f t="shared" si="2"/>
        <v>31729.863333333327</v>
      </c>
    </row>
    <row r="24" spans="1:57" ht="13.5" hidden="1" thickBot="1">
      <c r="A24" s="367">
        <v>41609</v>
      </c>
      <c r="B24" s="309">
        <v>312</v>
      </c>
      <c r="C24" s="309">
        <v>9413</v>
      </c>
      <c r="D24" s="310">
        <f t="shared" si="3"/>
        <v>9725</v>
      </c>
      <c r="E24" s="5">
        <v>794.78</v>
      </c>
      <c r="F24" s="311">
        <v>14147.16</v>
      </c>
      <c r="G24" s="315">
        <f t="shared" si="1"/>
        <v>14941.94</v>
      </c>
      <c r="H24" s="114"/>
      <c r="I24" s="270"/>
      <c r="J24" s="270"/>
      <c r="K24" s="4"/>
      <c r="L24" s="232">
        <v>414980.16</v>
      </c>
      <c r="M24" s="233">
        <v>428600.20000000007</v>
      </c>
      <c r="N24" s="4"/>
      <c r="O24" s="4">
        <f t="shared" si="2"/>
        <v>34581.68</v>
      </c>
    </row>
    <row r="25" spans="1:57" hidden="1">
      <c r="A25" s="366">
        <v>41640</v>
      </c>
      <c r="B25" s="1694">
        <v>312</v>
      </c>
      <c r="C25" s="1694">
        <v>9425</v>
      </c>
      <c r="D25" s="308">
        <f t="shared" si="3"/>
        <v>9737</v>
      </c>
      <c r="E25" s="222">
        <v>2000.62</v>
      </c>
      <c r="F25" s="312">
        <v>17170.52</v>
      </c>
      <c r="G25" s="314">
        <f t="shared" si="1"/>
        <v>19171.14</v>
      </c>
      <c r="H25" s="418"/>
      <c r="I25" s="419"/>
      <c r="J25" s="270"/>
      <c r="K25" s="4"/>
      <c r="L25" s="234">
        <v>470274.34</v>
      </c>
      <c r="M25" s="234">
        <v>488325.78</v>
      </c>
      <c r="N25" s="4"/>
      <c r="O25" s="4">
        <f t="shared" si="2"/>
        <v>39189.528333333335</v>
      </c>
    </row>
    <row r="26" spans="1:57" ht="13.5" hidden="1" thickBot="1">
      <c r="A26" s="367">
        <v>41671</v>
      </c>
      <c r="B26" s="1693">
        <v>305</v>
      </c>
      <c r="C26" s="1693">
        <v>9489</v>
      </c>
      <c r="D26" s="309">
        <f t="shared" ref="D26:D43" si="4">B26+C26</f>
        <v>9794</v>
      </c>
      <c r="E26" s="34">
        <v>1463.74</v>
      </c>
      <c r="F26" s="313">
        <v>15352.72</v>
      </c>
      <c r="G26" s="315">
        <f t="shared" si="1"/>
        <v>16816.46</v>
      </c>
      <c r="H26" s="418"/>
      <c r="I26" s="270"/>
      <c r="J26" s="270"/>
      <c r="K26" s="4"/>
      <c r="L26" s="235">
        <v>546232.16999999993</v>
      </c>
      <c r="M26" s="236">
        <v>574770.89</v>
      </c>
      <c r="N26" s="4"/>
      <c r="O26" s="4">
        <f t="shared" si="2"/>
        <v>45519.347499999996</v>
      </c>
    </row>
    <row r="27" spans="1:57" hidden="1">
      <c r="A27" s="367">
        <v>41699</v>
      </c>
      <c r="B27" s="1693">
        <v>313</v>
      </c>
      <c r="C27" s="1693">
        <v>9530</v>
      </c>
      <c r="D27" s="309">
        <f t="shared" si="4"/>
        <v>9843</v>
      </c>
      <c r="E27" s="34">
        <v>2776.3</v>
      </c>
      <c r="F27" s="313">
        <v>19352.080000000002</v>
      </c>
      <c r="G27" s="315">
        <f t="shared" ref="G27:G34" si="5">+E27+F27</f>
        <v>22128.38</v>
      </c>
      <c r="H27" s="418"/>
      <c r="I27" s="271"/>
      <c r="J27" s="270"/>
      <c r="K27" s="4"/>
      <c r="L27" s="264"/>
      <c r="M27" s="236"/>
      <c r="N27" s="4"/>
      <c r="O27" s="4"/>
    </row>
    <row r="28" spans="1:57" hidden="1">
      <c r="A28" s="367">
        <v>41730</v>
      </c>
      <c r="B28" s="1693">
        <v>314</v>
      </c>
      <c r="C28" s="1693">
        <v>9562</v>
      </c>
      <c r="D28" s="309">
        <f t="shared" si="4"/>
        <v>9876</v>
      </c>
      <c r="E28" s="34">
        <v>2776.3</v>
      </c>
      <c r="F28" s="313">
        <v>19352.080000000002</v>
      </c>
      <c r="G28" s="316">
        <f t="shared" si="5"/>
        <v>22128.38</v>
      </c>
      <c r="H28" s="418"/>
      <c r="I28" s="271"/>
      <c r="J28" s="270"/>
      <c r="K28" s="4"/>
      <c r="L28" s="264"/>
      <c r="M28" s="236"/>
      <c r="N28" s="4"/>
      <c r="O28" s="4"/>
    </row>
    <row r="29" spans="1:57" hidden="1">
      <c r="A29" s="367">
        <v>41760</v>
      </c>
      <c r="B29" s="1693">
        <v>315</v>
      </c>
      <c r="C29" s="1693">
        <v>9603</v>
      </c>
      <c r="D29" s="309">
        <f t="shared" si="4"/>
        <v>9918</v>
      </c>
      <c r="E29" s="34">
        <v>3924.3100000000004</v>
      </c>
      <c r="F29" s="313">
        <v>25805.62</v>
      </c>
      <c r="G29" s="316">
        <f t="shared" si="5"/>
        <v>29729.93</v>
      </c>
      <c r="H29" s="418"/>
      <c r="I29" s="271"/>
      <c r="J29" s="270"/>
      <c r="K29" s="4"/>
      <c r="L29" s="264"/>
      <c r="M29" s="236"/>
      <c r="N29" s="4"/>
      <c r="O29" s="4"/>
    </row>
    <row r="30" spans="1:57" hidden="1">
      <c r="A30" s="367">
        <v>41791</v>
      </c>
      <c r="B30" s="1693">
        <v>316</v>
      </c>
      <c r="C30" s="1693">
        <v>9641</v>
      </c>
      <c r="D30" s="309">
        <f t="shared" si="4"/>
        <v>9957</v>
      </c>
      <c r="E30" s="34">
        <v>1803.92</v>
      </c>
      <c r="F30" s="313">
        <v>16242.630000000001</v>
      </c>
      <c r="G30" s="316">
        <f t="shared" si="5"/>
        <v>18046.550000000003</v>
      </c>
      <c r="H30" s="418"/>
      <c r="I30" s="271"/>
      <c r="J30" s="270"/>
      <c r="K30" s="4"/>
      <c r="L30" s="264"/>
      <c r="M30" s="236"/>
      <c r="N30" s="4"/>
      <c r="O30" s="4"/>
    </row>
    <row r="31" spans="1:57" hidden="1">
      <c r="A31" s="367">
        <v>41821</v>
      </c>
      <c r="B31" s="1693">
        <v>317</v>
      </c>
      <c r="C31" s="1693">
        <v>9715</v>
      </c>
      <c r="D31" s="309">
        <f t="shared" si="4"/>
        <v>10032</v>
      </c>
      <c r="E31" s="34">
        <v>253.01999999999998</v>
      </c>
      <c r="F31" s="313">
        <v>14808.66</v>
      </c>
      <c r="G31" s="316">
        <f t="shared" si="5"/>
        <v>15061.68</v>
      </c>
      <c r="H31" s="418"/>
      <c r="I31" s="271"/>
      <c r="J31" s="270"/>
      <c r="K31" s="4"/>
      <c r="L31" s="264"/>
      <c r="M31" s="236"/>
      <c r="N31" s="4"/>
      <c r="O31" s="4"/>
    </row>
    <row r="32" spans="1:57" hidden="1">
      <c r="A32" s="367">
        <v>41852</v>
      </c>
      <c r="B32" s="1693">
        <v>315</v>
      </c>
      <c r="C32" s="1693">
        <v>9788</v>
      </c>
      <c r="D32" s="309">
        <f t="shared" si="4"/>
        <v>10103</v>
      </c>
      <c r="E32" s="34">
        <v>758.7</v>
      </c>
      <c r="F32" s="313">
        <v>14829.319999999998</v>
      </c>
      <c r="G32" s="316">
        <f t="shared" si="5"/>
        <v>15588.019999999999</v>
      </c>
      <c r="H32" s="418"/>
      <c r="I32" s="271"/>
      <c r="J32" s="270"/>
      <c r="K32" s="4"/>
      <c r="L32" s="264"/>
      <c r="M32" s="236"/>
      <c r="N32" s="4"/>
      <c r="O32" s="4"/>
    </row>
    <row r="33" spans="1:15" hidden="1">
      <c r="A33" s="367">
        <v>41883</v>
      </c>
      <c r="B33" s="1693">
        <v>315</v>
      </c>
      <c r="C33" s="1693">
        <v>9841</v>
      </c>
      <c r="D33" s="309">
        <f t="shared" si="4"/>
        <v>10156</v>
      </c>
      <c r="E33" s="34">
        <v>2186.5299999999997</v>
      </c>
      <c r="F33" s="313">
        <v>15927.149999999998</v>
      </c>
      <c r="G33" s="316">
        <f t="shared" si="5"/>
        <v>18113.679999999997</v>
      </c>
      <c r="H33" s="418"/>
      <c r="I33" s="271"/>
      <c r="J33" s="270"/>
      <c r="K33" s="4"/>
      <c r="L33" s="264"/>
      <c r="M33" s="236"/>
      <c r="N33" s="4"/>
      <c r="O33" s="4"/>
    </row>
    <row r="34" spans="1:15" hidden="1">
      <c r="A34" s="367">
        <v>41913</v>
      </c>
      <c r="B34" s="1693">
        <v>310</v>
      </c>
      <c r="C34" s="1693">
        <v>9895</v>
      </c>
      <c r="D34" s="309">
        <f t="shared" si="4"/>
        <v>10205</v>
      </c>
      <c r="E34" s="34">
        <v>4346.4399999999996</v>
      </c>
      <c r="F34" s="313">
        <v>22481.160000000003</v>
      </c>
      <c r="G34" s="316">
        <f t="shared" si="5"/>
        <v>26827.600000000002</v>
      </c>
      <c r="H34" s="418"/>
      <c r="I34" s="271"/>
      <c r="J34" s="270"/>
      <c r="K34" s="4"/>
      <c r="L34" s="264"/>
      <c r="M34" s="236"/>
      <c r="N34" s="4"/>
      <c r="O34" s="4"/>
    </row>
    <row r="35" spans="1:15" hidden="1">
      <c r="A35" s="367">
        <v>41944</v>
      </c>
      <c r="B35" s="1693">
        <v>322</v>
      </c>
      <c r="C35" s="1693">
        <v>9916</v>
      </c>
      <c r="D35" s="309">
        <f t="shared" si="4"/>
        <v>10238</v>
      </c>
      <c r="E35" s="34">
        <v>6439.07</v>
      </c>
      <c r="F35" s="313">
        <v>27619.91</v>
      </c>
      <c r="G35" s="316">
        <f t="shared" ref="G35:G43" si="6">+E35+F35</f>
        <v>34058.979999999996</v>
      </c>
      <c r="H35" s="418"/>
      <c r="I35" s="271"/>
      <c r="J35" s="270"/>
      <c r="K35" s="4"/>
      <c r="L35" s="264"/>
      <c r="M35" s="236"/>
      <c r="N35" s="4"/>
      <c r="O35" s="4"/>
    </row>
    <row r="36" spans="1:15" hidden="1">
      <c r="A36" s="367">
        <v>41974</v>
      </c>
      <c r="B36" s="1693">
        <v>325</v>
      </c>
      <c r="C36" s="1693">
        <v>9943</v>
      </c>
      <c r="D36" s="309">
        <f t="shared" si="4"/>
        <v>10268</v>
      </c>
      <c r="E36" s="34">
        <v>1464.0700000000002</v>
      </c>
      <c r="F36" s="313">
        <v>29498.270000000004</v>
      </c>
      <c r="G36" s="316">
        <f t="shared" si="6"/>
        <v>30962.340000000004</v>
      </c>
      <c r="H36" s="418"/>
      <c r="I36" s="271"/>
      <c r="J36" s="270"/>
      <c r="K36" s="4"/>
      <c r="L36" s="264"/>
      <c r="M36" s="236"/>
      <c r="N36" s="4"/>
      <c r="O36" s="4"/>
    </row>
    <row r="37" spans="1:15" hidden="1">
      <c r="A37" s="367">
        <v>42005</v>
      </c>
      <c r="B37" s="1693">
        <v>327</v>
      </c>
      <c r="C37" s="1693">
        <v>9990</v>
      </c>
      <c r="D37" s="309">
        <f t="shared" si="4"/>
        <v>10317</v>
      </c>
      <c r="E37" s="34">
        <v>3844.3899999999994</v>
      </c>
      <c r="F37" s="313">
        <v>32521.689999999995</v>
      </c>
      <c r="G37" s="316">
        <f t="shared" si="6"/>
        <v>36366.079999999994</v>
      </c>
      <c r="H37" s="418"/>
      <c r="I37" s="271"/>
      <c r="J37" s="270"/>
      <c r="K37" s="4"/>
      <c r="L37" s="264"/>
      <c r="M37" s="236"/>
      <c r="N37" s="4"/>
      <c r="O37" s="4"/>
    </row>
    <row r="38" spans="1:15" hidden="1">
      <c r="A38" s="367">
        <v>42036</v>
      </c>
      <c r="B38" s="1693">
        <v>330</v>
      </c>
      <c r="C38" s="1693">
        <v>10036</v>
      </c>
      <c r="D38" s="309">
        <f>B38+C38</f>
        <v>10366</v>
      </c>
      <c r="E38" s="34">
        <v>13056.300000000001</v>
      </c>
      <c r="F38" s="313">
        <v>26352.239999999998</v>
      </c>
      <c r="G38" s="316">
        <f t="shared" si="6"/>
        <v>39408.54</v>
      </c>
      <c r="H38" s="418"/>
      <c r="I38" s="271"/>
      <c r="J38" s="270"/>
      <c r="K38" s="4"/>
      <c r="L38" s="264"/>
      <c r="M38" s="236"/>
      <c r="N38" s="4"/>
      <c r="O38" s="4"/>
    </row>
    <row r="39" spans="1:15" hidden="1">
      <c r="A39" s="367">
        <v>42064</v>
      </c>
      <c r="B39" s="1693">
        <v>331</v>
      </c>
      <c r="C39" s="1693">
        <v>10071</v>
      </c>
      <c r="D39" s="309">
        <f>B39+C39</f>
        <v>10402</v>
      </c>
      <c r="E39" s="34">
        <v>739.62</v>
      </c>
      <c r="F39" s="313">
        <v>22638.289999999994</v>
      </c>
      <c r="G39" s="316">
        <f t="shared" si="6"/>
        <v>23377.909999999993</v>
      </c>
      <c r="H39" s="418"/>
      <c r="I39" s="271"/>
      <c r="J39" s="270"/>
      <c r="K39" s="4"/>
      <c r="L39" s="264"/>
      <c r="M39" s="236"/>
      <c r="N39" s="4"/>
      <c r="O39" s="4"/>
    </row>
    <row r="40" spans="1:15" hidden="1">
      <c r="A40" s="367">
        <v>42095</v>
      </c>
      <c r="B40" s="1693">
        <v>329</v>
      </c>
      <c r="C40" s="1693">
        <v>10082</v>
      </c>
      <c r="D40" s="309">
        <f>B40+C40</f>
        <v>10411</v>
      </c>
      <c r="E40" s="34">
        <v>698.43999999999994</v>
      </c>
      <c r="F40" s="313">
        <v>24184.69</v>
      </c>
      <c r="G40" s="316">
        <f>+E40+F40</f>
        <v>24883.129999999997</v>
      </c>
      <c r="H40" s="418"/>
      <c r="I40" s="271"/>
      <c r="J40" s="270"/>
      <c r="K40" s="4"/>
      <c r="L40" s="264"/>
      <c r="M40" s="236"/>
      <c r="N40" s="4"/>
      <c r="O40" s="4"/>
    </row>
    <row r="41" spans="1:15" hidden="1">
      <c r="A41" s="367">
        <v>42125</v>
      </c>
      <c r="B41" s="1693">
        <v>329</v>
      </c>
      <c r="C41" s="1693">
        <v>10146</v>
      </c>
      <c r="D41" s="309">
        <f>B41+C41</f>
        <v>10475</v>
      </c>
      <c r="E41" s="34">
        <v>706.01</v>
      </c>
      <c r="F41" s="313">
        <v>22446.760000000002</v>
      </c>
      <c r="G41" s="316">
        <f>+E41+F41</f>
        <v>23152.77</v>
      </c>
      <c r="H41" s="418"/>
      <c r="I41" s="271"/>
      <c r="J41" s="270"/>
      <c r="K41" s="4"/>
      <c r="L41" s="264"/>
      <c r="M41" s="236"/>
      <c r="N41" s="4"/>
      <c r="O41" s="4"/>
    </row>
    <row r="42" spans="1:15" hidden="1">
      <c r="A42" s="367">
        <v>42156</v>
      </c>
      <c r="B42" s="1693">
        <v>327</v>
      </c>
      <c r="C42" s="1693">
        <v>10177</v>
      </c>
      <c r="D42" s="309">
        <f>B42+C42</f>
        <v>10504</v>
      </c>
      <c r="E42" s="34">
        <v>1514.5800000000004</v>
      </c>
      <c r="F42" s="313">
        <v>21425.33</v>
      </c>
      <c r="G42" s="316">
        <f>+E42+F42</f>
        <v>22939.910000000003</v>
      </c>
      <c r="H42" s="418"/>
      <c r="I42" s="271"/>
      <c r="J42" s="270"/>
      <c r="K42" s="4"/>
      <c r="L42" s="264"/>
      <c r="M42" s="236"/>
      <c r="N42" s="4"/>
      <c r="O42" s="4"/>
    </row>
    <row r="43" spans="1:15" hidden="1">
      <c r="A43" s="367">
        <v>42186</v>
      </c>
      <c r="B43" s="1693">
        <v>328</v>
      </c>
      <c r="C43" s="1693">
        <v>10213</v>
      </c>
      <c r="D43" s="309">
        <f t="shared" si="4"/>
        <v>10541</v>
      </c>
      <c r="E43" s="34">
        <v>1017.9699999999999</v>
      </c>
      <c r="F43" s="313">
        <v>22848.11</v>
      </c>
      <c r="G43" s="316">
        <f t="shared" si="6"/>
        <v>23866.080000000002</v>
      </c>
      <c r="H43" s="418"/>
      <c r="I43" s="271"/>
      <c r="J43" s="270"/>
      <c r="K43" s="4"/>
      <c r="L43" s="264"/>
      <c r="M43" s="236"/>
      <c r="N43" s="4"/>
      <c r="O43" s="4"/>
    </row>
    <row r="44" spans="1:15" hidden="1">
      <c r="A44" s="367">
        <v>42217</v>
      </c>
      <c r="B44" s="1693">
        <v>329</v>
      </c>
      <c r="C44" s="1693">
        <v>10292</v>
      </c>
      <c r="D44" s="309">
        <f t="shared" ref="D44:D56" si="7">B44+C44</f>
        <v>10621</v>
      </c>
      <c r="E44" s="34">
        <v>1077.8599999999999</v>
      </c>
      <c r="F44" s="313">
        <v>19760.939999999999</v>
      </c>
      <c r="G44" s="316">
        <f t="shared" ref="G44:G56" si="8">+E44+F44</f>
        <v>20838.8</v>
      </c>
      <c r="H44" s="418"/>
      <c r="I44" s="271"/>
      <c r="J44" s="270"/>
      <c r="K44" s="4"/>
      <c r="L44" s="264"/>
      <c r="M44" s="236"/>
      <c r="N44" s="4"/>
      <c r="O44" s="4"/>
    </row>
    <row r="45" spans="1:15" hidden="1">
      <c r="A45" s="367">
        <v>42248</v>
      </c>
      <c r="B45" s="1693">
        <v>328</v>
      </c>
      <c r="C45" s="1693">
        <v>10315</v>
      </c>
      <c r="D45" s="309">
        <f>B45+C45</f>
        <v>10643</v>
      </c>
      <c r="E45" s="34">
        <v>18549.740000000002</v>
      </c>
      <c r="F45" s="313">
        <v>192.05</v>
      </c>
      <c r="G45" s="316">
        <f t="shared" si="8"/>
        <v>18741.79</v>
      </c>
      <c r="H45" s="418"/>
      <c r="I45" s="271"/>
      <c r="J45" s="270"/>
      <c r="K45" s="4"/>
      <c r="L45" s="264"/>
      <c r="M45" s="236"/>
      <c r="N45" s="4"/>
      <c r="O45" s="4"/>
    </row>
    <row r="46" spans="1:15" hidden="1">
      <c r="A46" s="367">
        <v>42278</v>
      </c>
      <c r="B46" s="1693">
        <v>328</v>
      </c>
      <c r="C46" s="1693">
        <v>10362</v>
      </c>
      <c r="D46" s="309">
        <f>B46+C46</f>
        <v>10690</v>
      </c>
      <c r="E46" s="34">
        <v>252.26999999999998</v>
      </c>
      <c r="F46" s="313">
        <v>16544.77</v>
      </c>
      <c r="G46" s="316">
        <f t="shared" si="8"/>
        <v>16797.04</v>
      </c>
      <c r="H46" s="418"/>
      <c r="I46" s="271"/>
      <c r="J46" s="270"/>
      <c r="K46" s="4"/>
      <c r="L46" s="264"/>
      <c r="M46" s="236"/>
      <c r="N46" s="4"/>
      <c r="O46" s="4"/>
    </row>
    <row r="47" spans="1:15" ht="19.5" hidden="1" customHeight="1" thickBot="1">
      <c r="A47" s="367">
        <v>42309</v>
      </c>
      <c r="B47" s="1693">
        <v>329</v>
      </c>
      <c r="C47" s="1693">
        <v>10401</v>
      </c>
      <c r="D47" s="309">
        <f t="shared" si="7"/>
        <v>10730</v>
      </c>
      <c r="E47" s="34">
        <v>4893.0400000000009</v>
      </c>
      <c r="F47" s="313">
        <v>10751.89</v>
      </c>
      <c r="G47" s="316">
        <f t="shared" si="8"/>
        <v>15644.93</v>
      </c>
      <c r="H47" s="418"/>
      <c r="I47" s="271"/>
      <c r="J47" s="270"/>
      <c r="K47" s="4"/>
      <c r="L47" s="264"/>
      <c r="M47" s="236"/>
      <c r="N47" s="4"/>
      <c r="O47" s="4"/>
    </row>
    <row r="48" spans="1:15" hidden="1">
      <c r="A48" s="367">
        <v>42339</v>
      </c>
      <c r="B48" s="1693">
        <v>329</v>
      </c>
      <c r="C48" s="1693">
        <v>10459</v>
      </c>
      <c r="D48" s="309">
        <f t="shared" si="7"/>
        <v>10788</v>
      </c>
      <c r="E48" s="34">
        <v>1464.0700000000002</v>
      </c>
      <c r="F48" s="313">
        <v>29498.270000000004</v>
      </c>
      <c r="G48" s="316">
        <f t="shared" si="8"/>
        <v>30962.340000000004</v>
      </c>
      <c r="H48" s="418"/>
      <c r="I48" s="271"/>
      <c r="J48" s="270"/>
      <c r="K48" s="4"/>
      <c r="L48" s="264"/>
      <c r="M48" s="236"/>
      <c r="N48" s="4"/>
      <c r="O48" s="4"/>
    </row>
    <row r="49" spans="1:15" hidden="1">
      <c r="A49" s="367">
        <v>42370</v>
      </c>
      <c r="B49" s="1693">
        <v>329</v>
      </c>
      <c r="C49" s="1693">
        <v>10463</v>
      </c>
      <c r="D49" s="309">
        <f t="shared" si="7"/>
        <v>10792</v>
      </c>
      <c r="E49" s="34">
        <v>15172.66</v>
      </c>
      <c r="F49" s="313">
        <v>10732.4</v>
      </c>
      <c r="G49" s="316">
        <f t="shared" si="8"/>
        <v>25905.059999999998</v>
      </c>
      <c r="H49" s="418"/>
      <c r="I49" s="271"/>
      <c r="J49" s="270"/>
      <c r="K49" s="4"/>
      <c r="L49" s="264"/>
      <c r="M49" s="236"/>
      <c r="N49" s="4"/>
      <c r="O49" s="4"/>
    </row>
    <row r="50" spans="1:15" hidden="1">
      <c r="A50" s="367">
        <v>42401</v>
      </c>
      <c r="B50" s="1693">
        <v>328</v>
      </c>
      <c r="C50" s="1693">
        <v>10499</v>
      </c>
      <c r="D50" s="309">
        <f t="shared" si="7"/>
        <v>10827</v>
      </c>
      <c r="E50" s="34">
        <v>70194.59</v>
      </c>
      <c r="F50" s="313">
        <v>10734.22</v>
      </c>
      <c r="G50" s="316">
        <f t="shared" si="8"/>
        <v>80928.81</v>
      </c>
      <c r="H50" s="418"/>
      <c r="I50" s="271"/>
      <c r="J50" s="270"/>
      <c r="K50" s="4"/>
      <c r="L50" s="264"/>
      <c r="M50" s="236"/>
      <c r="N50" s="4"/>
      <c r="O50" s="4"/>
    </row>
    <row r="51" spans="1:15" hidden="1">
      <c r="A51" s="367">
        <v>42430</v>
      </c>
      <c r="B51" s="1693">
        <v>332</v>
      </c>
      <c r="C51" s="1693">
        <v>10527</v>
      </c>
      <c r="D51" s="309">
        <f t="shared" si="7"/>
        <v>10859</v>
      </c>
      <c r="E51" s="34">
        <v>58777.63</v>
      </c>
      <c r="F51" s="313">
        <v>12210.05</v>
      </c>
      <c r="G51" s="316">
        <f t="shared" si="8"/>
        <v>70987.679999999993</v>
      </c>
      <c r="H51" s="418"/>
      <c r="I51" s="271"/>
      <c r="J51" s="270"/>
      <c r="K51" s="4"/>
      <c r="L51" s="264"/>
      <c r="M51" s="236"/>
      <c r="N51" s="4"/>
      <c r="O51" s="4"/>
    </row>
    <row r="52" spans="1:15" hidden="1">
      <c r="A52" s="367">
        <v>42461</v>
      </c>
      <c r="B52" s="1693">
        <v>313</v>
      </c>
      <c r="C52" s="1693">
        <v>10590</v>
      </c>
      <c r="D52" s="309">
        <f t="shared" si="7"/>
        <v>10903</v>
      </c>
      <c r="E52" s="34">
        <v>42903.34</v>
      </c>
      <c r="F52" s="313">
        <v>16378.33</v>
      </c>
      <c r="G52" s="316">
        <f t="shared" si="8"/>
        <v>59281.67</v>
      </c>
      <c r="H52" s="418"/>
      <c r="I52" s="271"/>
      <c r="J52" s="270"/>
      <c r="K52" s="4"/>
      <c r="L52" s="264"/>
      <c r="M52" s="236"/>
      <c r="N52" s="4"/>
      <c r="O52" s="4"/>
    </row>
    <row r="53" spans="1:15" hidden="1">
      <c r="A53" s="367">
        <v>42491</v>
      </c>
      <c r="B53" s="1693">
        <v>334</v>
      </c>
      <c r="C53" s="1693">
        <v>10637</v>
      </c>
      <c r="D53" s="309">
        <f t="shared" si="7"/>
        <v>10971</v>
      </c>
      <c r="E53" s="34">
        <v>42439.35</v>
      </c>
      <c r="F53" s="313">
        <v>16191.31</v>
      </c>
      <c r="G53" s="316">
        <f t="shared" si="8"/>
        <v>58630.659999999996</v>
      </c>
      <c r="H53" s="418"/>
      <c r="I53" s="271"/>
      <c r="J53" s="270"/>
      <c r="K53" s="4"/>
      <c r="L53" s="264"/>
      <c r="M53" s="236"/>
      <c r="N53" s="4"/>
      <c r="O53" s="4"/>
    </row>
    <row r="54" spans="1:15" hidden="1">
      <c r="A54" s="367">
        <v>42522</v>
      </c>
      <c r="B54" s="1693">
        <v>336</v>
      </c>
      <c r="C54" s="1693">
        <v>10686</v>
      </c>
      <c r="D54" s="309">
        <f t="shared" si="7"/>
        <v>11022</v>
      </c>
      <c r="E54" s="34">
        <v>91557.81</v>
      </c>
      <c r="F54" s="313">
        <v>20758.650000000001</v>
      </c>
      <c r="G54" s="316">
        <f t="shared" si="8"/>
        <v>112316.45999999999</v>
      </c>
      <c r="H54" s="418"/>
      <c r="I54" s="271"/>
      <c r="J54" s="270"/>
      <c r="K54" s="4"/>
      <c r="L54" s="264"/>
      <c r="M54" s="236"/>
      <c r="N54" s="4"/>
      <c r="O54" s="4"/>
    </row>
    <row r="55" spans="1:15" hidden="1">
      <c r="A55" s="367">
        <v>42552</v>
      </c>
      <c r="B55" s="1693">
        <v>333</v>
      </c>
      <c r="C55" s="1693">
        <v>10738</v>
      </c>
      <c r="D55" s="309">
        <f t="shared" si="7"/>
        <v>11071</v>
      </c>
      <c r="E55" s="34">
        <v>125771.1</v>
      </c>
      <c r="F55" s="313">
        <v>16354.76</v>
      </c>
      <c r="G55" s="316">
        <f t="shared" si="8"/>
        <v>142125.86000000002</v>
      </c>
      <c r="H55" s="418"/>
      <c r="I55" s="271"/>
      <c r="J55" s="270"/>
      <c r="K55" s="4"/>
      <c r="L55" s="264"/>
      <c r="M55" s="236"/>
      <c r="N55" s="4"/>
      <c r="O55" s="4"/>
    </row>
    <row r="56" spans="1:15" hidden="1">
      <c r="A56" s="367">
        <v>42583</v>
      </c>
      <c r="B56" s="1693">
        <v>335</v>
      </c>
      <c r="C56" s="1693">
        <v>10785</v>
      </c>
      <c r="D56" s="309">
        <f t="shared" si="7"/>
        <v>11120</v>
      </c>
      <c r="E56" s="34">
        <v>67748.95</v>
      </c>
      <c r="F56" s="313">
        <v>14353.31</v>
      </c>
      <c r="G56" s="316">
        <f t="shared" si="8"/>
        <v>82102.259999999995</v>
      </c>
      <c r="H56" s="418"/>
      <c r="I56" s="271"/>
      <c r="J56" s="270"/>
      <c r="K56" s="4"/>
      <c r="L56" s="264"/>
      <c r="M56" s="236"/>
      <c r="N56" s="4"/>
      <c r="O56" s="4"/>
    </row>
    <row r="57" spans="1:15" hidden="1">
      <c r="A57" s="367">
        <v>42614</v>
      </c>
      <c r="B57" s="1693">
        <v>334</v>
      </c>
      <c r="C57" s="1693">
        <v>10799</v>
      </c>
      <c r="D57" s="309">
        <f>B57+C57</f>
        <v>11133</v>
      </c>
      <c r="E57" s="34">
        <v>33489.46</v>
      </c>
      <c r="F57" s="313">
        <v>12924.88</v>
      </c>
      <c r="G57" s="316">
        <f t="shared" ref="G57:G62" si="9">+E57+F57</f>
        <v>46414.34</v>
      </c>
      <c r="H57" s="750"/>
      <c r="I57" s="271"/>
      <c r="J57" s="270"/>
      <c r="K57" s="4"/>
      <c r="L57" s="264"/>
      <c r="M57" s="236"/>
      <c r="N57" s="4"/>
      <c r="O57" s="4"/>
    </row>
    <row r="58" spans="1:15" hidden="1">
      <c r="A58" s="367">
        <v>42644</v>
      </c>
      <c r="B58" s="1693">
        <v>331</v>
      </c>
      <c r="C58" s="1693">
        <v>10833</v>
      </c>
      <c r="D58" s="309">
        <v>11164</v>
      </c>
      <c r="E58" s="34">
        <v>33489.46</v>
      </c>
      <c r="F58" s="313">
        <v>12924.88</v>
      </c>
      <c r="G58" s="316">
        <f t="shared" si="9"/>
        <v>46414.34</v>
      </c>
      <c r="H58" s="418"/>
      <c r="I58" s="271"/>
      <c r="J58" s="270"/>
      <c r="K58" s="4"/>
      <c r="L58" s="264"/>
      <c r="M58" s="236"/>
      <c r="N58" s="4"/>
      <c r="O58" s="4"/>
    </row>
    <row r="59" spans="1:15" hidden="1">
      <c r="A59" s="367">
        <v>42675</v>
      </c>
      <c r="B59" s="1693">
        <v>335</v>
      </c>
      <c r="C59" s="1693">
        <v>10877</v>
      </c>
      <c r="D59" s="309">
        <v>11212</v>
      </c>
      <c r="E59" s="34">
        <v>30802.65</v>
      </c>
      <c r="F59" s="313">
        <v>14521.71</v>
      </c>
      <c r="G59" s="316">
        <f t="shared" si="9"/>
        <v>45324.36</v>
      </c>
      <c r="H59" s="418"/>
      <c r="I59" s="271"/>
      <c r="J59" s="270"/>
      <c r="K59" s="4"/>
      <c r="L59" s="264"/>
      <c r="M59" s="236"/>
      <c r="N59" s="4"/>
      <c r="O59" s="4"/>
    </row>
    <row r="60" spans="1:15" ht="13.5" hidden="1" thickBot="1">
      <c r="A60" s="367">
        <v>42705</v>
      </c>
      <c r="B60" s="1695">
        <v>333</v>
      </c>
      <c r="C60" s="1695">
        <v>10901</v>
      </c>
      <c r="D60" s="310">
        <v>11234</v>
      </c>
      <c r="E60" s="34">
        <v>21084.89</v>
      </c>
      <c r="F60" s="897">
        <v>15438.08</v>
      </c>
      <c r="G60" s="316">
        <f t="shared" si="9"/>
        <v>36522.97</v>
      </c>
      <c r="H60" s="418"/>
      <c r="I60" s="271"/>
      <c r="J60" s="270"/>
      <c r="K60" s="4"/>
      <c r="L60" s="264"/>
      <c r="M60" s="236"/>
      <c r="N60" s="4"/>
      <c r="O60" s="4"/>
    </row>
    <row r="61" spans="1:15" ht="18" hidden="1" customHeight="1">
      <c r="A61" s="367">
        <v>42736</v>
      </c>
      <c r="B61" s="1693">
        <v>334</v>
      </c>
      <c r="C61" s="1693">
        <v>10998</v>
      </c>
      <c r="D61" s="309">
        <v>11332</v>
      </c>
      <c r="E61" s="1147">
        <v>35583.89</v>
      </c>
      <c r="F61" s="34">
        <v>18509.47</v>
      </c>
      <c r="G61" s="1147">
        <f t="shared" si="9"/>
        <v>54093.36</v>
      </c>
      <c r="H61" s="418"/>
      <c r="I61" s="271"/>
      <c r="J61" s="270"/>
      <c r="K61" s="4"/>
      <c r="L61" s="264"/>
      <c r="M61" s="236"/>
      <c r="N61" s="4"/>
      <c r="O61" s="4"/>
    </row>
    <row r="62" spans="1:15" ht="18" hidden="1" customHeight="1">
      <c r="A62" s="367">
        <v>42767</v>
      </c>
      <c r="B62" s="1693">
        <v>335</v>
      </c>
      <c r="C62" s="1693">
        <v>11031</v>
      </c>
      <c r="D62" s="309">
        <v>11366</v>
      </c>
      <c r="E62" s="316">
        <v>14194.27</v>
      </c>
      <c r="F62" s="34">
        <v>20207.28</v>
      </c>
      <c r="G62" s="316">
        <f t="shared" si="9"/>
        <v>34401.550000000003</v>
      </c>
      <c r="H62" s="418"/>
      <c r="I62" s="271"/>
      <c r="J62" s="270"/>
      <c r="K62" s="4"/>
      <c r="L62" s="264"/>
      <c r="M62" s="236"/>
      <c r="N62" s="4"/>
      <c r="O62" s="4"/>
    </row>
    <row r="63" spans="1:15" ht="18" hidden="1" customHeight="1">
      <c r="A63" s="366">
        <v>42795</v>
      </c>
      <c r="B63" s="1694">
        <v>339</v>
      </c>
      <c r="C63" s="1694">
        <v>11048</v>
      </c>
      <c r="D63" s="308">
        <f>B63+C63</f>
        <v>11387</v>
      </c>
      <c r="E63" s="1147">
        <v>9416.86</v>
      </c>
      <c r="F63" s="1318">
        <v>18848.330000000002</v>
      </c>
      <c r="G63" s="1147">
        <f>E63+F63</f>
        <v>28265.190000000002</v>
      </c>
      <c r="H63" s="750"/>
      <c r="I63" s="271"/>
      <c r="J63" s="270"/>
      <c r="K63" s="4"/>
      <c r="L63" s="264"/>
      <c r="M63" s="236"/>
      <c r="N63" s="4"/>
      <c r="O63" s="4"/>
    </row>
    <row r="64" spans="1:15" ht="18" hidden="1" customHeight="1">
      <c r="A64" s="367">
        <v>42826</v>
      </c>
      <c r="B64" s="1693">
        <v>340</v>
      </c>
      <c r="C64" s="1693">
        <v>11095</v>
      </c>
      <c r="D64" s="309">
        <f>B64+C64</f>
        <v>11435</v>
      </c>
      <c r="E64" s="316">
        <v>1636.68</v>
      </c>
      <c r="F64" s="34">
        <v>17790.060000000001</v>
      </c>
      <c r="G64" s="316">
        <f>E64+F64</f>
        <v>19426.740000000002</v>
      </c>
      <c r="H64" s="750"/>
      <c r="I64" s="271"/>
      <c r="J64" s="270"/>
      <c r="K64" s="4"/>
      <c r="L64" s="264"/>
      <c r="M64" s="236"/>
      <c r="N64" s="4"/>
      <c r="O64" s="4"/>
    </row>
    <row r="65" spans="1:17" ht="18" hidden="1" customHeight="1">
      <c r="A65" s="367">
        <v>42856</v>
      </c>
      <c r="B65" s="1693">
        <v>337</v>
      </c>
      <c r="C65" s="1693">
        <v>11121</v>
      </c>
      <c r="D65" s="309">
        <f t="shared" ref="D65:D75" si="10">B65+C65</f>
        <v>11458</v>
      </c>
      <c r="E65" s="316">
        <v>2879.68</v>
      </c>
      <c r="F65" s="34">
        <v>14955.95</v>
      </c>
      <c r="G65" s="316">
        <f t="shared" ref="G65:G76" si="11">E65+F65</f>
        <v>17835.63</v>
      </c>
      <c r="H65" s="750"/>
      <c r="I65" s="271"/>
      <c r="J65" s="270"/>
      <c r="K65" s="4"/>
      <c r="L65" s="264"/>
      <c r="M65" s="236"/>
      <c r="N65" s="4"/>
      <c r="O65" s="4"/>
    </row>
    <row r="66" spans="1:17" ht="18" hidden="1" customHeight="1">
      <c r="A66" s="367">
        <v>42887</v>
      </c>
      <c r="B66" s="1693">
        <v>338</v>
      </c>
      <c r="C66" s="1693">
        <v>11196</v>
      </c>
      <c r="D66" s="309">
        <f t="shared" si="10"/>
        <v>11534</v>
      </c>
      <c r="E66" s="1147">
        <v>2186.3200000000002</v>
      </c>
      <c r="F66" s="34">
        <v>12145.04</v>
      </c>
      <c r="G66" s="316">
        <f t="shared" si="11"/>
        <v>14331.36</v>
      </c>
      <c r="H66" s="750"/>
      <c r="I66" s="271"/>
      <c r="J66" s="270"/>
      <c r="K66" s="4"/>
      <c r="L66" s="264"/>
      <c r="M66" s="236"/>
      <c r="N66" s="4"/>
      <c r="O66" s="4"/>
    </row>
    <row r="67" spans="1:17" ht="18" hidden="1" customHeight="1">
      <c r="A67" s="367">
        <v>42917</v>
      </c>
      <c r="B67" s="1693">
        <v>341</v>
      </c>
      <c r="C67" s="1693">
        <v>11219</v>
      </c>
      <c r="D67" s="309">
        <f t="shared" si="10"/>
        <v>11560</v>
      </c>
      <c r="E67" s="316">
        <v>873.13</v>
      </c>
      <c r="F67" s="34">
        <v>9370.6</v>
      </c>
      <c r="G67" s="316">
        <f t="shared" si="11"/>
        <v>10243.73</v>
      </c>
      <c r="H67" s="750"/>
      <c r="I67" s="271"/>
      <c r="J67" s="270"/>
      <c r="K67" s="4"/>
      <c r="L67" s="264"/>
      <c r="M67" s="236"/>
      <c r="N67" s="4"/>
      <c r="O67" s="4"/>
    </row>
    <row r="68" spans="1:17" ht="18" hidden="1" customHeight="1">
      <c r="A68" s="367">
        <v>42948</v>
      </c>
      <c r="B68" s="1693">
        <v>344</v>
      </c>
      <c r="C68" s="1693">
        <v>11246</v>
      </c>
      <c r="D68" s="309">
        <f t="shared" si="10"/>
        <v>11590</v>
      </c>
      <c r="E68" s="316">
        <v>124.6</v>
      </c>
      <c r="F68" s="34">
        <v>8837.7099999999991</v>
      </c>
      <c r="G68" s="316">
        <f t="shared" si="11"/>
        <v>8962.31</v>
      </c>
      <c r="H68" s="750"/>
      <c r="I68" s="271"/>
      <c r="J68" s="270"/>
      <c r="K68" s="4"/>
      <c r="L68" s="264"/>
      <c r="M68" s="236"/>
      <c r="N68" s="4"/>
      <c r="O68" s="4"/>
    </row>
    <row r="69" spans="1:17" ht="18" hidden="1" customHeight="1">
      <c r="A69" s="367">
        <v>42979</v>
      </c>
      <c r="B69" s="1693">
        <v>353</v>
      </c>
      <c r="C69" s="1693">
        <v>11292</v>
      </c>
      <c r="D69" s="309">
        <f t="shared" si="10"/>
        <v>11645</v>
      </c>
      <c r="E69" s="316">
        <v>125.30999999999999</v>
      </c>
      <c r="F69" s="34">
        <v>8888.2300000000014</v>
      </c>
      <c r="G69" s="316">
        <f t="shared" si="11"/>
        <v>9013.5400000000009</v>
      </c>
      <c r="H69" s="750"/>
      <c r="I69" s="271"/>
      <c r="J69" s="270"/>
      <c r="K69" s="4"/>
      <c r="L69" s="264"/>
      <c r="M69" s="236"/>
      <c r="N69" s="4"/>
      <c r="O69" s="4"/>
    </row>
    <row r="70" spans="1:17" ht="18" customHeight="1">
      <c r="A70" s="367">
        <v>43009</v>
      </c>
      <c r="B70" s="1693">
        <v>356</v>
      </c>
      <c r="C70" s="1693">
        <v>11332</v>
      </c>
      <c r="D70" s="309">
        <f t="shared" si="10"/>
        <v>11688</v>
      </c>
      <c r="E70" s="316">
        <v>14.2</v>
      </c>
      <c r="F70" s="34">
        <v>8543</v>
      </c>
      <c r="G70" s="316">
        <f t="shared" si="11"/>
        <v>8557.2000000000007</v>
      </c>
      <c r="H70" s="750"/>
      <c r="I70" s="271"/>
      <c r="J70" s="270"/>
      <c r="K70" s="4"/>
      <c r="L70" s="264"/>
      <c r="M70" s="236"/>
      <c r="N70" s="4"/>
      <c r="O70" s="4"/>
    </row>
    <row r="71" spans="1:17" ht="18" customHeight="1">
      <c r="A71" s="2691">
        <v>43040</v>
      </c>
      <c r="B71" s="1693">
        <v>352</v>
      </c>
      <c r="C71" s="1693">
        <v>11388</v>
      </c>
      <c r="D71" s="309">
        <f t="shared" si="10"/>
        <v>11740</v>
      </c>
      <c r="E71" s="2685">
        <v>1.62</v>
      </c>
      <c r="F71" s="2721">
        <v>9372.8499999999985</v>
      </c>
      <c r="G71" s="2685">
        <f t="shared" si="11"/>
        <v>9374.4699999999993</v>
      </c>
      <c r="H71" s="750"/>
      <c r="I71" s="271"/>
      <c r="J71" s="270"/>
      <c r="K71" s="4"/>
      <c r="L71" s="264"/>
      <c r="M71" s="236"/>
      <c r="N71" s="4"/>
      <c r="O71" s="4"/>
    </row>
    <row r="72" spans="1:17" ht="18" customHeight="1">
      <c r="A72" s="2691">
        <v>43070</v>
      </c>
      <c r="B72" s="1693">
        <v>351</v>
      </c>
      <c r="C72" s="1693">
        <v>11393</v>
      </c>
      <c r="D72" s="309">
        <f t="shared" si="10"/>
        <v>11744</v>
      </c>
      <c r="E72" s="2685">
        <v>77.98</v>
      </c>
      <c r="F72" s="2721">
        <v>8740.6699999999983</v>
      </c>
      <c r="G72" s="2685">
        <f t="shared" si="11"/>
        <v>8818.6499999999978</v>
      </c>
      <c r="H72" s="750"/>
      <c r="I72" s="271"/>
      <c r="J72" s="270"/>
      <c r="K72" s="4"/>
      <c r="L72" s="264"/>
      <c r="M72" s="236"/>
      <c r="N72" s="4"/>
      <c r="O72" s="4"/>
    </row>
    <row r="73" spans="1:17" s="1257" customFormat="1" ht="18" customHeight="1">
      <c r="A73" s="2691">
        <v>43101</v>
      </c>
      <c r="B73" s="1693">
        <v>354</v>
      </c>
      <c r="C73" s="1693">
        <v>11456</v>
      </c>
      <c r="D73" s="309">
        <f t="shared" si="10"/>
        <v>11810</v>
      </c>
      <c r="E73" s="2685">
        <v>53412.01</v>
      </c>
      <c r="F73" s="2721">
        <v>9105.56</v>
      </c>
      <c r="G73" s="2685">
        <f t="shared" si="11"/>
        <v>62517.57</v>
      </c>
      <c r="H73" s="750"/>
      <c r="I73" s="271"/>
      <c r="J73" s="270"/>
      <c r="K73" s="1258"/>
      <c r="L73" s="264"/>
      <c r="M73" s="236"/>
      <c r="N73" s="1258"/>
      <c r="O73" s="1258"/>
      <c r="Q73" s="223"/>
    </row>
    <row r="74" spans="1:17" s="1257" customFormat="1" ht="18" customHeight="1">
      <c r="A74" s="2691">
        <v>43132</v>
      </c>
      <c r="B74" s="1693">
        <v>355</v>
      </c>
      <c r="C74" s="1693">
        <v>11521</v>
      </c>
      <c r="D74" s="309">
        <f t="shared" si="10"/>
        <v>11876</v>
      </c>
      <c r="E74" s="2685">
        <v>10292.969999999999</v>
      </c>
      <c r="F74" s="2721">
        <v>9513.89</v>
      </c>
      <c r="G74" s="2685">
        <f t="shared" si="11"/>
        <v>19806.86</v>
      </c>
      <c r="H74" s="750"/>
      <c r="I74" s="271"/>
      <c r="J74" s="270"/>
      <c r="K74" s="1258"/>
      <c r="L74" s="264"/>
      <c r="M74" s="236"/>
      <c r="N74" s="1258"/>
      <c r="O74" s="1258"/>
      <c r="Q74" s="223"/>
    </row>
    <row r="75" spans="1:17" s="1257" customFormat="1" ht="18" customHeight="1">
      <c r="A75" s="2691">
        <v>43160</v>
      </c>
      <c r="B75" s="1693">
        <v>344</v>
      </c>
      <c r="C75" s="1693">
        <v>11595</v>
      </c>
      <c r="D75" s="309">
        <f t="shared" si="10"/>
        <v>11939</v>
      </c>
      <c r="E75" s="2685">
        <v>1430.93</v>
      </c>
      <c r="F75" s="2721">
        <v>7320.29</v>
      </c>
      <c r="G75" s="2685">
        <f t="shared" si="11"/>
        <v>8751.2199999999993</v>
      </c>
      <c r="H75" s="750"/>
      <c r="I75" s="271"/>
      <c r="J75" s="270"/>
      <c r="K75" s="1258"/>
      <c r="L75" s="264"/>
      <c r="M75" s="236"/>
      <c r="N75" s="1258"/>
      <c r="O75" s="1258"/>
      <c r="Q75" s="223"/>
    </row>
    <row r="76" spans="1:17" s="1257" customFormat="1" ht="18" customHeight="1">
      <c r="A76" s="2691">
        <v>43191</v>
      </c>
      <c r="B76" s="1693">
        <v>344</v>
      </c>
      <c r="C76" s="1693">
        <v>11666</v>
      </c>
      <c r="D76" s="309">
        <v>12010</v>
      </c>
      <c r="E76" s="2685">
        <v>2070.96</v>
      </c>
      <c r="F76" s="2721">
        <v>7578.12</v>
      </c>
      <c r="G76" s="2685">
        <f t="shared" si="11"/>
        <v>9649.08</v>
      </c>
      <c r="H76" s="750"/>
      <c r="I76" s="271"/>
      <c r="J76" s="270"/>
      <c r="K76" s="1258"/>
      <c r="L76" s="264"/>
      <c r="M76" s="236"/>
      <c r="N76" s="1258"/>
      <c r="O76" s="1258"/>
      <c r="Q76" s="223"/>
    </row>
    <row r="77" spans="1:17" s="2638" customFormat="1" ht="18" customHeight="1">
      <c r="A77" s="2691">
        <v>43221</v>
      </c>
      <c r="B77" s="1693">
        <v>344</v>
      </c>
      <c r="C77" s="1693">
        <v>11719</v>
      </c>
      <c r="D77" s="309">
        <v>12063</v>
      </c>
      <c r="E77" s="2685">
        <v>222.71</v>
      </c>
      <c r="F77" s="2721">
        <v>8393.6299999999992</v>
      </c>
      <c r="G77" s="2685">
        <v>8616.3399999999983</v>
      </c>
      <c r="H77" s="750"/>
      <c r="I77" s="2677"/>
      <c r="J77" s="2676"/>
      <c r="K77" s="2639"/>
      <c r="L77" s="2671"/>
      <c r="M77" s="2668"/>
      <c r="N77" s="2639"/>
      <c r="O77" s="2639"/>
      <c r="Q77" s="2667"/>
    </row>
    <row r="78" spans="1:17" s="2638" customFormat="1" ht="18" customHeight="1">
      <c r="A78" s="2691">
        <v>43252</v>
      </c>
      <c r="B78" s="1693">
        <v>345</v>
      </c>
      <c r="C78" s="1693">
        <v>11796</v>
      </c>
      <c r="D78" s="309">
        <v>12141</v>
      </c>
      <c r="E78" s="2685">
        <v>492.27</v>
      </c>
      <c r="F78" s="2721">
        <v>8908.1200000000008</v>
      </c>
      <c r="G78" s="2685">
        <v>9400.39</v>
      </c>
      <c r="H78" s="750"/>
      <c r="I78" s="2677"/>
      <c r="J78" s="2676"/>
      <c r="K78" s="2639"/>
      <c r="L78" s="2671"/>
      <c r="M78" s="2668"/>
      <c r="N78" s="2639"/>
      <c r="O78" s="2639"/>
      <c r="Q78" s="2667"/>
    </row>
    <row r="79" spans="1:17" s="1820" customFormat="1" ht="18" customHeight="1">
      <c r="A79" s="2691">
        <v>43282</v>
      </c>
      <c r="B79" s="1693">
        <v>345</v>
      </c>
      <c r="C79" s="1693">
        <v>11871</v>
      </c>
      <c r="D79" s="309">
        <v>12216</v>
      </c>
      <c r="E79" s="2685">
        <v>77.790000000000006</v>
      </c>
      <c r="F79" s="2721">
        <v>7568.55</v>
      </c>
      <c r="G79" s="2685">
        <f>+E79+F79</f>
        <v>7646.34</v>
      </c>
      <c r="H79" s="750"/>
      <c r="I79" s="271"/>
      <c r="J79" s="270"/>
      <c r="K79" s="1830"/>
      <c r="L79" s="264"/>
      <c r="M79" s="236"/>
      <c r="N79" s="1830"/>
      <c r="O79" s="1830"/>
      <c r="Q79" s="223"/>
    </row>
    <row r="80" spans="1:17" s="2638" customFormat="1" ht="18" customHeight="1">
      <c r="A80" s="2691">
        <v>43313</v>
      </c>
      <c r="B80" s="1693">
        <v>343</v>
      </c>
      <c r="C80" s="1693">
        <v>11928</v>
      </c>
      <c r="D80" s="309">
        <v>12271</v>
      </c>
      <c r="E80" s="2685">
        <v>846.89</v>
      </c>
      <c r="F80" s="2721">
        <v>5022.08</v>
      </c>
      <c r="G80" s="2685">
        <v>5868.97</v>
      </c>
      <c r="H80" s="750"/>
      <c r="I80" s="2677"/>
      <c r="J80" s="2676"/>
      <c r="K80" s="2639"/>
      <c r="L80" s="2671"/>
      <c r="M80" s="2668"/>
      <c r="N80" s="2639"/>
      <c r="O80" s="2639"/>
      <c r="Q80" s="2667"/>
    </row>
    <row r="81" spans="1:17" s="2638" customFormat="1" ht="18" customHeight="1" thickBot="1">
      <c r="A81" s="2691">
        <v>43344</v>
      </c>
      <c r="B81" s="1693">
        <v>344</v>
      </c>
      <c r="C81" s="1693">
        <v>11992</v>
      </c>
      <c r="D81" s="2793">
        <v>12336</v>
      </c>
      <c r="E81" s="2794">
        <v>3538.62</v>
      </c>
      <c r="F81" s="2791">
        <v>11688.99</v>
      </c>
      <c r="G81" s="2794">
        <v>15227.61</v>
      </c>
      <c r="H81" s="750"/>
      <c r="I81" s="2677"/>
      <c r="J81" s="2676"/>
      <c r="K81" s="2639"/>
      <c r="L81" s="2671"/>
      <c r="M81" s="2668"/>
      <c r="N81" s="2639"/>
      <c r="O81" s="2639"/>
      <c r="Q81" s="2667"/>
    </row>
    <row r="82" spans="1:17" ht="18" customHeight="1" thickBot="1">
      <c r="A82" s="300" t="s">
        <v>386</v>
      </c>
      <c r="B82" s="457">
        <f>(B81/B79)-1</f>
        <v>-2.8985507246376274E-3</v>
      </c>
      <c r="C82" s="457">
        <f t="shared" ref="C82:G82" si="12">(C81/C79)-1</f>
        <v>1.019290708449172E-2</v>
      </c>
      <c r="D82" s="457">
        <f t="shared" si="12"/>
        <v>9.8231827111985304E-3</v>
      </c>
      <c r="E82" s="457">
        <f t="shared" si="12"/>
        <v>44.489394523717699</v>
      </c>
      <c r="F82" s="457">
        <f t="shared" si="12"/>
        <v>0.54441603741799938</v>
      </c>
      <c r="G82" s="457">
        <f t="shared" si="12"/>
        <v>0.99149004621819081</v>
      </c>
      <c r="H82" s="365"/>
      <c r="I82" s="272"/>
      <c r="J82" s="4"/>
      <c r="K82" s="4"/>
      <c r="L82" s="4"/>
      <c r="M82" s="4"/>
      <c r="N82" s="4"/>
      <c r="O82" s="4"/>
    </row>
    <row r="83" spans="1:17" ht="13.5" thickBot="1">
      <c r="A83" s="144"/>
      <c r="B83" s="145"/>
      <c r="C83" s="145"/>
      <c r="D83" s="145"/>
      <c r="E83" s="145"/>
      <c r="F83" s="145"/>
      <c r="G83" s="145"/>
      <c r="I83" s="69"/>
      <c r="J83" s="4"/>
      <c r="K83" s="4"/>
      <c r="L83" s="4"/>
      <c r="M83" s="4"/>
      <c r="N83" s="4"/>
      <c r="O83" s="4"/>
    </row>
    <row r="84" spans="1:17" ht="24" customHeight="1" thickBot="1">
      <c r="A84" s="3051" t="s">
        <v>71</v>
      </c>
      <c r="B84" s="3052"/>
      <c r="C84" s="3053"/>
      <c r="D84" s="3054"/>
      <c r="E84" s="3054"/>
      <c r="F84" s="3054"/>
      <c r="G84" s="3055"/>
      <c r="I84" s="69"/>
      <c r="J84" s="4"/>
      <c r="K84" s="4"/>
      <c r="L84" s="4"/>
      <c r="M84" s="4"/>
      <c r="N84" s="4"/>
      <c r="O84" s="4"/>
    </row>
    <row r="85" spans="1:17" ht="13.5" thickTop="1">
      <c r="A85" s="4"/>
      <c r="B85" s="4"/>
      <c r="C85" s="4"/>
      <c r="D85" s="4"/>
      <c r="E85" s="4"/>
      <c r="F85" s="4"/>
      <c r="G85" s="4"/>
      <c r="I85" s="69"/>
      <c r="J85" s="4"/>
      <c r="K85" s="71"/>
      <c r="L85" s="4"/>
      <c r="M85" s="4"/>
      <c r="N85" s="4"/>
      <c r="O85" s="4"/>
    </row>
    <row r="86" spans="1:17">
      <c r="A86" s="4"/>
      <c r="B86" s="4"/>
      <c r="C86" s="4"/>
      <c r="D86" s="4"/>
      <c r="E86" s="4"/>
      <c r="F86" s="4"/>
      <c r="G86" s="4"/>
      <c r="I86" s="69"/>
      <c r="J86" s="4"/>
      <c r="K86" s="4"/>
      <c r="L86" s="4"/>
      <c r="M86" s="4"/>
      <c r="N86" s="4"/>
      <c r="O86" s="4"/>
    </row>
    <row r="87" spans="1:17">
      <c r="A87" s="4"/>
      <c r="B87" s="4"/>
      <c r="C87" s="4"/>
      <c r="D87" s="4"/>
      <c r="E87" s="4"/>
      <c r="F87" s="4"/>
      <c r="G87" s="4"/>
      <c r="I87" s="69"/>
      <c r="J87" s="4"/>
      <c r="K87" s="4"/>
      <c r="L87" s="4"/>
      <c r="M87" s="4"/>
      <c r="N87" s="4"/>
      <c r="O87" s="4"/>
    </row>
    <row r="88" spans="1:17">
      <c r="A88" s="4"/>
      <c r="B88" s="4"/>
      <c r="C88" s="4"/>
      <c r="D88" s="4"/>
      <c r="E88" s="4"/>
      <c r="F88" s="4"/>
      <c r="G88" s="4"/>
      <c r="I88" s="69"/>
      <c r="J88" s="4"/>
      <c r="K88" s="4"/>
      <c r="L88" s="4"/>
      <c r="M88" s="4"/>
      <c r="N88" s="4"/>
      <c r="O88" s="4"/>
    </row>
    <row r="89" spans="1:17">
      <c r="A89" s="4"/>
      <c r="B89" s="4"/>
      <c r="C89" s="4"/>
      <c r="D89" s="4"/>
      <c r="E89" s="4"/>
      <c r="F89" s="4"/>
      <c r="G89" s="4"/>
      <c r="I89" s="69"/>
      <c r="J89" s="4"/>
      <c r="K89" s="4"/>
      <c r="L89" s="4"/>
      <c r="M89" s="4"/>
      <c r="N89" s="4"/>
      <c r="O89" s="4"/>
    </row>
    <row r="90" spans="1:17">
      <c r="A90" s="4"/>
      <c r="B90" s="4"/>
      <c r="C90" s="4"/>
      <c r="D90" s="4"/>
      <c r="E90" s="4"/>
      <c r="F90" s="4"/>
      <c r="G90" s="4"/>
      <c r="I90" s="69"/>
      <c r="J90" s="4"/>
      <c r="K90" s="4"/>
      <c r="L90" s="4"/>
      <c r="M90" s="4"/>
      <c r="N90" s="4"/>
      <c r="O90" s="4"/>
    </row>
    <row r="91" spans="1:17">
      <c r="A91" s="4"/>
      <c r="B91" s="4"/>
      <c r="C91" s="4"/>
      <c r="D91" s="4"/>
      <c r="E91" s="4"/>
      <c r="F91" s="4"/>
      <c r="G91" s="4"/>
      <c r="I91" s="69"/>
      <c r="J91" s="4"/>
      <c r="K91" s="4"/>
      <c r="L91" s="4"/>
      <c r="M91" s="4"/>
      <c r="N91" s="4"/>
      <c r="O91" s="4"/>
    </row>
    <row r="92" spans="1:17">
      <c r="A92" s="4"/>
      <c r="B92" s="4"/>
      <c r="C92" s="4"/>
      <c r="D92" s="4"/>
      <c r="E92" s="4"/>
      <c r="F92" s="4"/>
      <c r="G92" s="4"/>
      <c r="I92" s="69"/>
      <c r="J92" s="4"/>
      <c r="K92" s="4"/>
      <c r="L92" s="4"/>
      <c r="M92" s="4"/>
      <c r="N92" s="4"/>
      <c r="O92" s="4"/>
      <c r="P92" s="4"/>
    </row>
    <row r="93" spans="1:17">
      <c r="A93" s="4"/>
      <c r="B93" s="4"/>
      <c r="C93" s="4"/>
      <c r="D93" s="4"/>
      <c r="E93" s="4"/>
      <c r="F93" s="4"/>
      <c r="G93" s="4"/>
      <c r="I93" s="69"/>
      <c r="J93" s="4"/>
      <c r="K93" s="4"/>
      <c r="L93" s="4"/>
      <c r="M93" s="4"/>
      <c r="N93" s="4"/>
      <c r="O93" s="4"/>
      <c r="P93" s="4"/>
    </row>
    <row r="94" spans="1:17">
      <c r="A94" s="4"/>
      <c r="B94" s="4"/>
      <c r="C94" s="4"/>
      <c r="D94" s="4"/>
      <c r="E94" s="4"/>
      <c r="F94" s="4"/>
      <c r="G94" s="4"/>
      <c r="I94" s="69"/>
      <c r="J94" s="4"/>
      <c r="K94" s="4"/>
      <c r="L94" s="4"/>
      <c r="M94" s="4"/>
      <c r="N94" s="4"/>
      <c r="O94" s="4"/>
      <c r="P94" s="4"/>
    </row>
    <row r="95" spans="1:17">
      <c r="A95" s="4"/>
      <c r="B95" s="4"/>
      <c r="C95" s="4"/>
      <c r="D95" s="4"/>
      <c r="E95" s="4"/>
      <c r="F95" s="4"/>
      <c r="G95" s="4"/>
      <c r="I95" s="69"/>
      <c r="J95" s="4"/>
      <c r="K95" s="4"/>
      <c r="L95" s="4"/>
      <c r="M95" s="4"/>
      <c r="N95" s="4"/>
      <c r="O95" s="4"/>
      <c r="P95" s="4"/>
    </row>
    <row r="96" spans="1:17">
      <c r="A96" s="4"/>
      <c r="B96" s="4"/>
      <c r="C96" s="4"/>
      <c r="D96" s="4"/>
      <c r="E96" s="4"/>
      <c r="F96" s="4"/>
      <c r="G96" s="4"/>
      <c r="I96" s="4"/>
      <c r="P96" s="4"/>
    </row>
    <row r="97" spans="1:7">
      <c r="A97" s="4"/>
      <c r="B97" s="4"/>
      <c r="C97" s="4"/>
      <c r="D97" s="4"/>
      <c r="E97" s="4"/>
      <c r="F97" s="4"/>
      <c r="G97" s="4"/>
    </row>
    <row r="98" spans="1:7">
      <c r="A98" s="4"/>
      <c r="B98" s="4"/>
      <c r="C98" s="4"/>
      <c r="D98" s="4"/>
      <c r="E98" s="4"/>
      <c r="F98" s="4"/>
      <c r="G98" s="4"/>
    </row>
    <row r="99" spans="1:7">
      <c r="A99" s="4"/>
      <c r="B99" s="4"/>
      <c r="C99" s="4"/>
      <c r="D99" s="4"/>
      <c r="E99" s="4"/>
      <c r="F99" s="4"/>
      <c r="G99" s="4"/>
    </row>
    <row r="100" spans="1:7">
      <c r="A100" s="4"/>
      <c r="B100" s="4"/>
      <c r="C100" s="4"/>
      <c r="D100" s="4"/>
      <c r="E100" s="4"/>
      <c r="F100" s="4"/>
      <c r="G100" s="4"/>
    </row>
    <row r="101" spans="1:7">
      <c r="A101" s="4"/>
      <c r="B101" s="4"/>
      <c r="C101" s="4"/>
      <c r="D101" s="4"/>
      <c r="E101" s="4"/>
      <c r="F101" s="4"/>
      <c r="G101" s="4"/>
    </row>
    <row r="102" spans="1:7">
      <c r="A102" s="4"/>
      <c r="B102" s="4"/>
      <c r="C102" s="4"/>
      <c r="D102" s="4"/>
      <c r="E102" s="4"/>
      <c r="F102" s="4"/>
      <c r="G102" s="4"/>
    </row>
    <row r="103" spans="1:7">
      <c r="A103" s="4"/>
      <c r="B103" s="4"/>
      <c r="C103" s="4"/>
      <c r="D103" s="4"/>
      <c r="E103" s="4"/>
      <c r="F103" s="4"/>
      <c r="G103" s="4"/>
    </row>
    <row r="104" spans="1:7" ht="5.25" customHeight="1">
      <c r="A104" s="4"/>
      <c r="B104" s="4"/>
      <c r="C104" s="4"/>
      <c r="D104" s="4"/>
      <c r="E104" s="4"/>
      <c r="F104" s="4"/>
      <c r="G104" s="4"/>
    </row>
    <row r="105" spans="1:7">
      <c r="A105" s="4"/>
      <c r="B105" s="4"/>
      <c r="C105" s="4"/>
      <c r="D105" s="4"/>
      <c r="E105" s="4"/>
      <c r="F105" s="4"/>
      <c r="G105" s="4"/>
    </row>
    <row r="106" spans="1:7" ht="0.75" customHeight="1">
      <c r="A106" s="4"/>
      <c r="B106" s="4"/>
      <c r="C106" s="4"/>
      <c r="D106" s="4"/>
      <c r="E106" s="4"/>
      <c r="F106" s="4"/>
      <c r="G106" s="4"/>
    </row>
    <row r="403" spans="1:11">
      <c r="J403" s="42"/>
      <c r="K403" s="64"/>
    </row>
    <row r="404" spans="1:11">
      <c r="A404" s="97"/>
      <c r="B404" s="42"/>
      <c r="C404" s="42"/>
      <c r="D404" s="42"/>
      <c r="E404" s="42"/>
      <c r="F404" s="42"/>
      <c r="G404" s="42"/>
      <c r="H404" s="42"/>
      <c r="I404" s="42"/>
      <c r="J404" s="4"/>
      <c r="K404" s="52"/>
    </row>
    <row r="405" spans="1:11">
      <c r="A405" s="51"/>
      <c r="B405" s="4"/>
      <c r="C405" s="4"/>
      <c r="D405" s="4"/>
      <c r="E405" s="4"/>
      <c r="F405" s="4"/>
      <c r="G405" s="4"/>
      <c r="I405" s="4"/>
      <c r="J405" s="4"/>
      <c r="K405" s="52"/>
    </row>
    <row r="406" spans="1:11">
      <c r="A406" s="51"/>
      <c r="B406" s="4"/>
      <c r="C406" s="4"/>
      <c r="D406" s="4"/>
      <c r="E406" s="4"/>
      <c r="F406" s="4"/>
      <c r="G406" s="4"/>
      <c r="I406" s="4"/>
      <c r="J406" s="4"/>
      <c r="K406" s="52"/>
    </row>
    <row r="407" spans="1:11">
      <c r="A407" s="51"/>
      <c r="B407" s="4"/>
      <c r="C407" s="4"/>
      <c r="D407" s="4"/>
      <c r="E407" s="4"/>
      <c r="F407" s="4"/>
      <c r="G407" s="4"/>
      <c r="I407" s="4"/>
      <c r="J407" s="4"/>
      <c r="K407" s="52"/>
    </row>
    <row r="408" spans="1:11">
      <c r="A408" s="51"/>
      <c r="B408" s="4"/>
      <c r="C408" s="4"/>
      <c r="D408" s="4"/>
      <c r="E408" s="4"/>
      <c r="F408" s="4"/>
      <c r="G408" s="4"/>
      <c r="I408" s="4"/>
      <c r="J408" s="4"/>
      <c r="K408" s="52"/>
    </row>
    <row r="409" spans="1:11">
      <c r="A409" s="51"/>
      <c r="B409" s="4"/>
      <c r="C409" s="4"/>
      <c r="D409" s="4"/>
      <c r="E409" s="4"/>
      <c r="F409" s="4"/>
      <c r="G409" s="4"/>
      <c r="I409" s="4"/>
      <c r="J409" s="4"/>
      <c r="K409" s="52"/>
    </row>
    <row r="410" spans="1:11">
      <c r="A410" s="51"/>
      <c r="B410" s="4"/>
      <c r="C410" s="4"/>
      <c r="D410" s="4"/>
      <c r="E410" s="4"/>
      <c r="F410" s="4"/>
      <c r="G410" s="4"/>
      <c r="I410" s="4"/>
      <c r="J410" s="4"/>
      <c r="K410" s="52"/>
    </row>
    <row r="411" spans="1:11">
      <c r="A411" s="51"/>
      <c r="B411" s="4"/>
      <c r="C411" s="4"/>
      <c r="D411" s="4"/>
      <c r="E411" s="4"/>
      <c r="F411" s="4"/>
      <c r="G411" s="4"/>
      <c r="I411" s="4"/>
      <c r="J411" s="4"/>
      <c r="K411" s="52"/>
    </row>
    <row r="412" spans="1:11">
      <c r="A412" s="51"/>
      <c r="B412" s="4"/>
      <c r="C412" s="4"/>
      <c r="D412" s="4"/>
      <c r="E412" s="4"/>
      <c r="F412" s="4"/>
      <c r="G412" s="4"/>
      <c r="I412" s="4"/>
      <c r="J412" s="4"/>
      <c r="K412" s="52"/>
    </row>
    <row r="413" spans="1:11">
      <c r="A413" s="51"/>
      <c r="B413" s="4"/>
      <c r="C413" s="4"/>
      <c r="D413" s="4"/>
      <c r="E413" s="4"/>
      <c r="F413" s="4"/>
      <c r="G413" s="4"/>
      <c r="I413" s="4"/>
      <c r="J413" s="4"/>
      <c r="K413" s="52"/>
    </row>
    <row r="414" spans="1:11">
      <c r="A414" s="51"/>
      <c r="B414" s="4"/>
      <c r="C414" s="4"/>
      <c r="D414" s="4"/>
      <c r="E414" s="4"/>
      <c r="F414" s="4"/>
      <c r="G414" s="4"/>
      <c r="I414" s="4"/>
      <c r="J414" s="4"/>
      <c r="K414" s="52"/>
    </row>
    <row r="415" spans="1:11">
      <c r="A415" s="51"/>
      <c r="B415" s="4"/>
      <c r="C415" s="4"/>
      <c r="D415" s="4"/>
      <c r="E415" s="4"/>
      <c r="F415" s="4"/>
      <c r="G415" s="4"/>
      <c r="I415" s="4"/>
      <c r="J415" s="4"/>
      <c r="K415" s="52"/>
    </row>
    <row r="416" spans="1:11">
      <c r="A416" s="51"/>
      <c r="B416" s="4"/>
      <c r="C416" s="4"/>
      <c r="D416" s="4"/>
      <c r="E416" s="4"/>
      <c r="F416" s="4"/>
      <c r="G416" s="4"/>
      <c r="I416" s="4"/>
      <c r="J416" s="4"/>
      <c r="K416" s="52"/>
    </row>
    <row r="417" spans="1:11">
      <c r="A417" s="51"/>
      <c r="B417" s="4"/>
      <c r="C417" s="4"/>
      <c r="D417" s="4"/>
      <c r="E417" s="4"/>
      <c r="F417" s="4"/>
      <c r="G417" s="4"/>
      <c r="I417" s="4"/>
      <c r="J417" s="4"/>
      <c r="K417" s="52"/>
    </row>
    <row r="418" spans="1:11">
      <c r="A418" s="51"/>
      <c r="B418" s="4"/>
      <c r="C418" s="4"/>
      <c r="D418" s="4"/>
      <c r="E418" s="4"/>
      <c r="F418" s="4"/>
      <c r="G418" s="4"/>
      <c r="I418" s="4"/>
      <c r="J418" s="4"/>
      <c r="K418" s="52"/>
    </row>
    <row r="419" spans="1:11">
      <c r="A419" s="51"/>
      <c r="B419" s="4"/>
      <c r="C419" s="4"/>
      <c r="D419" s="4"/>
      <c r="E419" s="4"/>
      <c r="F419" s="4"/>
      <c r="G419" s="4"/>
      <c r="I419" s="4"/>
      <c r="J419" s="4"/>
      <c r="K419" s="52"/>
    </row>
    <row r="420" spans="1:11">
      <c r="A420" s="51"/>
      <c r="B420" s="4"/>
      <c r="C420" s="4"/>
      <c r="D420" s="4"/>
      <c r="E420" s="4"/>
      <c r="F420" s="4"/>
      <c r="G420" s="4"/>
      <c r="I420" s="4"/>
      <c r="J420" s="4"/>
      <c r="K420" s="52"/>
    </row>
    <row r="421" spans="1:11">
      <c r="A421" s="51"/>
      <c r="B421" s="4"/>
      <c r="C421" s="4"/>
      <c r="D421" s="4"/>
      <c r="E421" s="4"/>
      <c r="F421" s="4"/>
      <c r="G421" s="4"/>
      <c r="I421" s="4"/>
      <c r="J421" s="4"/>
      <c r="K421" s="52"/>
    </row>
    <row r="422" spans="1:11">
      <c r="A422" s="51"/>
      <c r="B422" s="4"/>
      <c r="C422" s="4"/>
      <c r="D422" s="4"/>
      <c r="E422" s="4"/>
      <c r="F422" s="4"/>
      <c r="G422" s="4"/>
      <c r="I422" s="4"/>
      <c r="J422" s="4"/>
      <c r="K422" s="52"/>
    </row>
    <row r="423" spans="1:11">
      <c r="A423" s="51"/>
      <c r="B423" s="4"/>
      <c r="C423" s="4"/>
      <c r="D423" s="4"/>
      <c r="E423" s="4"/>
      <c r="F423" s="4"/>
      <c r="G423" s="4"/>
      <c r="I423" s="4"/>
      <c r="J423" s="40"/>
      <c r="K423" s="54"/>
    </row>
    <row r="424" spans="1:11">
      <c r="A424" s="53"/>
      <c r="B424" s="40"/>
      <c r="C424" s="40"/>
      <c r="D424" s="40"/>
      <c r="E424" s="40"/>
      <c r="F424" s="40"/>
      <c r="G424" s="40"/>
      <c r="H424" s="40"/>
      <c r="I424" s="40"/>
    </row>
  </sheetData>
  <mergeCells count="14">
    <mergeCell ref="A84:B84"/>
    <mergeCell ref="C84:G84"/>
    <mergeCell ref="A1:G1"/>
    <mergeCell ref="C3:G3"/>
    <mergeCell ref="C6:G6"/>
    <mergeCell ref="C9:G9"/>
    <mergeCell ref="A11:A12"/>
    <mergeCell ref="B11:D11"/>
    <mergeCell ref="C2:F2"/>
    <mergeCell ref="C4:G4"/>
    <mergeCell ref="C5:G5"/>
    <mergeCell ref="C7:G7"/>
    <mergeCell ref="C8:G8"/>
    <mergeCell ref="E11:G11"/>
  </mergeCells>
  <printOptions horizontalCentered="1" verticalCentered="1"/>
  <pageMargins left="0.39370078740157483" right="0.39370078740157483" top="0.39370078740157483" bottom="0.39370078740157483" header="0.31496062992125984" footer="0.31496062992125984"/>
  <pageSetup paperSize="9" scale="10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AU1967"/>
  <sheetViews>
    <sheetView showGridLines="0" view="pageBreakPreview" zoomScaleNormal="85" zoomScaleSheetLayoutView="100" workbookViewId="0">
      <selection activeCell="E84" sqref="E84"/>
    </sheetView>
  </sheetViews>
  <sheetFormatPr baseColWidth="10" defaultColWidth="12" defaultRowHeight="30" customHeight="1"/>
  <cols>
    <col min="1" max="1" width="9.33203125" style="6" customWidth="1"/>
    <col min="2" max="2" width="7.83203125" style="6" customWidth="1"/>
    <col min="3" max="3" width="13.1640625" style="6" bestFit="1" customWidth="1"/>
    <col min="4" max="4" width="17" style="6" customWidth="1"/>
    <col min="5" max="5" width="12" style="6" customWidth="1"/>
    <col min="6" max="6" width="11.33203125" style="6" customWidth="1"/>
    <col min="7" max="7" width="10.6640625" style="6" customWidth="1"/>
    <col min="8" max="9" width="9" style="6" bestFit="1" customWidth="1"/>
    <col min="10" max="10" width="9" style="8" bestFit="1" customWidth="1"/>
    <col min="11" max="11" width="8.6640625" style="6" bestFit="1" customWidth="1"/>
    <col min="12" max="12" width="9" style="6" bestFit="1" customWidth="1"/>
    <col min="13" max="13" width="8.6640625" style="6" bestFit="1" customWidth="1"/>
    <col min="14" max="14" width="9" style="6" bestFit="1" customWidth="1"/>
    <col min="15" max="15" width="9" style="6" customWidth="1"/>
    <col min="16" max="16" width="9.83203125" style="6" bestFit="1" customWidth="1"/>
    <col min="17" max="17" width="13.33203125" style="6" customWidth="1"/>
    <col min="18" max="18" width="9.83203125" style="6" customWidth="1"/>
    <col min="19" max="19" width="0.5" style="6" customWidth="1"/>
    <col min="20" max="21" width="12" style="6"/>
    <col min="22" max="31" width="12" style="6" customWidth="1"/>
    <col min="32" max="32" width="5.5" style="6" customWidth="1"/>
    <col min="33" max="16384" width="12" style="6"/>
  </cols>
  <sheetData>
    <row r="1" spans="1:27" ht="24" customHeight="1" thickBot="1">
      <c r="A1" s="3161" t="s">
        <v>7</v>
      </c>
      <c r="B1" s="3162"/>
      <c r="C1" s="3162"/>
      <c r="D1" s="3162"/>
      <c r="E1" s="3162"/>
      <c r="F1" s="3162"/>
      <c r="G1" s="3162"/>
      <c r="H1" s="3162"/>
      <c r="I1" s="3162"/>
      <c r="J1" s="3162"/>
      <c r="K1" s="3162"/>
      <c r="L1" s="3162"/>
      <c r="M1" s="3162"/>
      <c r="N1" s="3162"/>
      <c r="O1" s="3162"/>
      <c r="P1" s="3162"/>
      <c r="Q1" s="3162"/>
      <c r="R1" s="3162"/>
      <c r="S1" s="3163"/>
    </row>
    <row r="2" spans="1:27" s="7" customFormat="1" ht="12">
      <c r="A2" s="3164" t="s">
        <v>58</v>
      </c>
      <c r="B2" s="3165"/>
      <c r="C2" s="3166"/>
      <c r="D2" s="3167" t="s">
        <v>107</v>
      </c>
      <c r="E2" s="3168"/>
      <c r="F2" s="3168"/>
      <c r="G2" s="3168"/>
      <c r="H2" s="3168"/>
      <c r="I2" s="3168"/>
      <c r="J2" s="3168"/>
      <c r="K2" s="3168"/>
      <c r="L2" s="3168"/>
      <c r="M2" s="3168"/>
      <c r="N2" s="3168"/>
      <c r="O2" s="3169"/>
      <c r="P2" s="3170" t="s">
        <v>312</v>
      </c>
      <c r="Q2" s="3171"/>
      <c r="R2" s="3171"/>
      <c r="S2" s="3172"/>
    </row>
    <row r="3" spans="1:27" s="7" customFormat="1" ht="12">
      <c r="A3" s="3153" t="s">
        <v>59</v>
      </c>
      <c r="B3" s="3154"/>
      <c r="C3" s="3160"/>
      <c r="D3" s="3143" t="s">
        <v>170</v>
      </c>
      <c r="E3" s="3144"/>
      <c r="F3" s="3144"/>
      <c r="G3" s="3144"/>
      <c r="H3" s="3144"/>
      <c r="I3" s="3144"/>
      <c r="J3" s="3144"/>
      <c r="K3" s="3144"/>
      <c r="L3" s="3144"/>
      <c r="M3" s="3144"/>
      <c r="N3" s="3144"/>
      <c r="O3" s="3144"/>
      <c r="P3" s="3144"/>
      <c r="Q3" s="3144"/>
      <c r="R3" s="3144"/>
      <c r="S3" s="3145"/>
    </row>
    <row r="4" spans="1:27" s="7" customFormat="1" ht="12">
      <c r="A4" s="3153" t="s">
        <v>8</v>
      </c>
      <c r="B4" s="3154"/>
      <c r="C4" s="3155"/>
      <c r="D4" s="3143" t="s">
        <v>108</v>
      </c>
      <c r="E4" s="3144"/>
      <c r="F4" s="3144"/>
      <c r="G4" s="3144"/>
      <c r="H4" s="3144"/>
      <c r="I4" s="3144"/>
      <c r="J4" s="3144"/>
      <c r="K4" s="3144"/>
      <c r="L4" s="3144"/>
      <c r="M4" s="3144"/>
      <c r="N4" s="3144"/>
      <c r="O4" s="3144"/>
      <c r="P4" s="3144"/>
      <c r="Q4" s="3144"/>
      <c r="R4" s="3144"/>
      <c r="S4" s="3145"/>
    </row>
    <row r="5" spans="1:27" s="7" customFormat="1" ht="12">
      <c r="A5" s="3153" t="s">
        <v>61</v>
      </c>
      <c r="B5" s="3154"/>
      <c r="C5" s="3160"/>
      <c r="D5" s="3143" t="s">
        <v>855</v>
      </c>
      <c r="E5" s="3144"/>
      <c r="F5" s="3144"/>
      <c r="G5" s="3144"/>
      <c r="H5" s="3144"/>
      <c r="I5" s="3144"/>
      <c r="J5" s="3144"/>
      <c r="K5" s="3144"/>
      <c r="L5" s="3144"/>
      <c r="M5" s="3144"/>
      <c r="N5" s="3144"/>
      <c r="O5" s="3144"/>
      <c r="P5" s="3144"/>
      <c r="Q5" s="3144"/>
      <c r="R5" s="3144"/>
      <c r="S5" s="3145"/>
    </row>
    <row r="6" spans="1:27" s="7" customFormat="1" ht="12">
      <c r="A6" s="3153" t="s">
        <v>62</v>
      </c>
      <c r="B6" s="3154"/>
      <c r="C6" s="3160"/>
      <c r="D6" s="3143" t="s">
        <v>135</v>
      </c>
      <c r="E6" s="3144"/>
      <c r="F6" s="3144"/>
      <c r="G6" s="3144"/>
      <c r="H6" s="3144"/>
      <c r="I6" s="3144"/>
      <c r="J6" s="3144"/>
      <c r="K6" s="3144"/>
      <c r="L6" s="3144"/>
      <c r="M6" s="3144"/>
      <c r="N6" s="3144"/>
      <c r="O6" s="3144"/>
      <c r="P6" s="3144"/>
      <c r="Q6" s="3144"/>
      <c r="R6" s="3144"/>
      <c r="S6" s="3145"/>
    </row>
    <row r="7" spans="1:27" s="7" customFormat="1" ht="51.75" customHeight="1">
      <c r="A7" s="3153" t="s">
        <v>63</v>
      </c>
      <c r="B7" s="3154"/>
      <c r="C7" s="3155"/>
      <c r="D7" s="3156" t="s">
        <v>136</v>
      </c>
      <c r="E7" s="3157"/>
      <c r="F7" s="3157"/>
      <c r="G7" s="3157"/>
      <c r="H7" s="3157"/>
      <c r="I7" s="3157"/>
      <c r="J7" s="3157"/>
      <c r="K7" s="3157"/>
      <c r="L7" s="3157"/>
      <c r="M7" s="3157"/>
      <c r="N7" s="3157"/>
      <c r="O7" s="3157"/>
      <c r="P7" s="3157"/>
      <c r="Q7" s="3157"/>
      <c r="R7" s="3157"/>
      <c r="S7" s="3158"/>
      <c r="AA7" s="36"/>
    </row>
    <row r="8" spans="1:27" s="7" customFormat="1" ht="12">
      <c r="A8" s="3146" t="s">
        <v>65</v>
      </c>
      <c r="B8" s="3159"/>
      <c r="C8" s="3160"/>
      <c r="D8" s="3143" t="s">
        <v>15</v>
      </c>
      <c r="E8" s="3144"/>
      <c r="F8" s="3144"/>
      <c r="G8" s="3144"/>
      <c r="H8" s="3144"/>
      <c r="I8" s="3144"/>
      <c r="J8" s="3144"/>
      <c r="K8" s="3144"/>
      <c r="L8" s="3144"/>
      <c r="M8" s="3144"/>
      <c r="N8" s="3144"/>
      <c r="O8" s="3144"/>
      <c r="P8" s="3144"/>
      <c r="Q8" s="3144"/>
      <c r="R8" s="3144"/>
      <c r="S8" s="3145"/>
    </row>
    <row r="9" spans="1:27" s="7" customFormat="1" ht="32.1" customHeight="1">
      <c r="A9" s="3153" t="s">
        <v>9</v>
      </c>
      <c r="B9" s="3154"/>
      <c r="C9" s="3160"/>
      <c r="D9" s="3143" t="s">
        <v>223</v>
      </c>
      <c r="E9" s="3144"/>
      <c r="F9" s="3144"/>
      <c r="G9" s="3144"/>
      <c r="H9" s="3144"/>
      <c r="I9" s="3144"/>
      <c r="J9" s="3144"/>
      <c r="K9" s="3144"/>
      <c r="L9" s="3144"/>
      <c r="M9" s="3144"/>
      <c r="N9" s="3144"/>
      <c r="O9" s="3144"/>
      <c r="P9" s="3144"/>
      <c r="Q9" s="3144"/>
      <c r="R9" s="3144"/>
      <c r="S9" s="3145"/>
    </row>
    <row r="10" spans="1:27" s="9" customFormat="1" ht="12">
      <c r="A10" s="3140" t="s">
        <v>66</v>
      </c>
      <c r="B10" s="3141"/>
      <c r="C10" s="3142"/>
      <c r="D10" s="3143" t="s">
        <v>343</v>
      </c>
      <c r="E10" s="3144"/>
      <c r="F10" s="3144"/>
      <c r="G10" s="3144"/>
      <c r="H10" s="3144"/>
      <c r="I10" s="3144"/>
      <c r="J10" s="3144"/>
      <c r="K10" s="3144"/>
      <c r="L10" s="3144"/>
      <c r="M10" s="3144"/>
      <c r="N10" s="3144"/>
      <c r="O10" s="3144"/>
      <c r="P10" s="3144"/>
      <c r="Q10" s="3144"/>
      <c r="R10" s="3144"/>
      <c r="S10" s="3145"/>
    </row>
    <row r="11" spans="1:27" s="7" customFormat="1" ht="12">
      <c r="A11" s="3146" t="s">
        <v>67</v>
      </c>
      <c r="B11" s="3147"/>
      <c r="C11" s="3147"/>
      <c r="D11" s="3143" t="s">
        <v>109</v>
      </c>
      <c r="E11" s="3144"/>
      <c r="F11" s="3144"/>
      <c r="G11" s="3144"/>
      <c r="H11" s="3144"/>
      <c r="I11" s="3144"/>
      <c r="J11" s="3144"/>
      <c r="K11" s="3144"/>
      <c r="L11" s="3144"/>
      <c r="M11" s="3144"/>
      <c r="N11" s="3144"/>
      <c r="O11" s="3144"/>
      <c r="P11" s="3144"/>
      <c r="Q11" s="3144"/>
      <c r="R11" s="3144"/>
      <c r="S11" s="3145"/>
    </row>
    <row r="12" spans="1:27" s="7" customFormat="1" ht="12.75" thickBot="1">
      <c r="A12" s="3148" t="s">
        <v>68</v>
      </c>
      <c r="B12" s="3149"/>
      <c r="C12" s="3149"/>
      <c r="D12" s="3150" t="s">
        <v>110</v>
      </c>
      <c r="E12" s="3151"/>
      <c r="F12" s="3151"/>
      <c r="G12" s="3151"/>
      <c r="H12" s="3151"/>
      <c r="I12" s="3151"/>
      <c r="J12" s="3151"/>
      <c r="K12" s="3151"/>
      <c r="L12" s="3151"/>
      <c r="M12" s="3151"/>
      <c r="N12" s="3151"/>
      <c r="O12" s="3151"/>
      <c r="P12" s="3151"/>
      <c r="Q12" s="3151"/>
      <c r="R12" s="3151"/>
      <c r="S12" s="3152"/>
    </row>
    <row r="13" spans="1:27" s="8" customFormat="1" ht="7.5" customHeight="1" thickBot="1">
      <c r="A13" s="1696"/>
      <c r="B13" s="153"/>
      <c r="C13" s="153"/>
      <c r="D13" s="153"/>
      <c r="E13" s="153"/>
      <c r="F13" s="248"/>
      <c r="G13" s="1831"/>
      <c r="H13" s="1831"/>
      <c r="I13" s="1831"/>
      <c r="J13" s="1831"/>
      <c r="K13" s="1831"/>
      <c r="L13" s="1831"/>
      <c r="M13" s="1831"/>
      <c r="N13" s="1831"/>
      <c r="O13" s="1831"/>
      <c r="P13" s="1831"/>
      <c r="Q13" s="1831"/>
      <c r="R13" s="1831"/>
      <c r="S13" s="1697"/>
    </row>
    <row r="14" spans="1:27" ht="21.75" customHeight="1" thickBot="1">
      <c r="A14" s="3128" t="s">
        <v>69</v>
      </c>
      <c r="B14" s="3129"/>
      <c r="C14" s="3129"/>
      <c r="D14" s="3129"/>
      <c r="E14" s="3130"/>
      <c r="F14" s="249"/>
      <c r="G14" s="1831"/>
      <c r="H14" s="1831"/>
      <c r="I14" s="1831"/>
      <c r="J14" s="1831"/>
      <c r="K14" s="1831"/>
      <c r="L14" s="1831"/>
      <c r="M14" s="1831"/>
      <c r="N14" s="1831"/>
      <c r="O14" s="1831"/>
      <c r="P14" s="1831"/>
      <c r="Q14" s="1831"/>
      <c r="R14" s="1831"/>
      <c r="S14" s="1697"/>
    </row>
    <row r="15" spans="1:27" ht="18.75" customHeight="1" thickBot="1">
      <c r="A15" s="2771"/>
      <c r="B15" s="3131" t="s">
        <v>111</v>
      </c>
      <c r="C15" s="3134" t="s">
        <v>835</v>
      </c>
      <c r="D15" s="3134"/>
      <c r="E15" s="3135"/>
      <c r="F15" s="3136"/>
      <c r="G15" s="1831"/>
      <c r="H15" s="1831"/>
      <c r="I15" s="1831"/>
      <c r="J15" s="1831"/>
      <c r="K15" s="1831"/>
      <c r="L15" s="1831"/>
      <c r="M15" s="1831"/>
      <c r="N15" s="1831"/>
      <c r="O15" s="1831"/>
      <c r="P15" s="1831"/>
      <c r="Q15" s="1831"/>
      <c r="R15" s="1831"/>
      <c r="S15" s="1697"/>
    </row>
    <row r="16" spans="1:27" ht="20.25" customHeight="1">
      <c r="A16" s="2772" t="s">
        <v>70</v>
      </c>
      <c r="B16" s="3132"/>
      <c r="C16" s="3137" t="s">
        <v>258</v>
      </c>
      <c r="D16" s="3131" t="s">
        <v>257</v>
      </c>
      <c r="E16" s="3131" t="s">
        <v>256</v>
      </c>
      <c r="F16" s="3136"/>
      <c r="G16" s="1831"/>
      <c r="H16" s="1831"/>
      <c r="I16" s="1831"/>
      <c r="J16" s="1831"/>
      <c r="K16" s="1831"/>
      <c r="L16" s="1831"/>
      <c r="M16" s="1831"/>
      <c r="N16" s="1831"/>
      <c r="O16" s="1831"/>
      <c r="P16" s="1831"/>
      <c r="Q16" s="1831"/>
      <c r="R16" s="1831"/>
      <c r="S16" s="1697"/>
    </row>
    <row r="17" spans="1:19" ht="12" customHeight="1" thickBot="1">
      <c r="A17" s="2773"/>
      <c r="B17" s="3133"/>
      <c r="C17" s="3138"/>
      <c r="D17" s="3133"/>
      <c r="E17" s="3139"/>
      <c r="F17" s="3136"/>
      <c r="G17" s="1831"/>
      <c r="H17" s="1831"/>
      <c r="I17" s="1831"/>
      <c r="J17" s="1831"/>
      <c r="K17" s="1831"/>
      <c r="L17" s="1831"/>
      <c r="M17" s="1831"/>
      <c r="N17" s="1831"/>
      <c r="O17" s="1831"/>
      <c r="P17" s="1831"/>
      <c r="Q17" s="1831"/>
      <c r="R17" s="1831"/>
      <c r="S17" s="1697"/>
    </row>
    <row r="18" spans="1:19" ht="12" hidden="1" customHeight="1">
      <c r="A18" s="2774">
        <v>41275</v>
      </c>
      <c r="B18" s="1708">
        <v>7.6</v>
      </c>
      <c r="C18" s="2768">
        <v>7.4899999999999993</v>
      </c>
      <c r="D18" s="1708">
        <v>6.7327947308373322</v>
      </c>
      <c r="E18" s="1708">
        <f>+B18/C18</f>
        <v>1.0146862483311081</v>
      </c>
      <c r="F18" s="1155"/>
      <c r="G18" s="1831"/>
      <c r="H18" s="1831"/>
      <c r="I18" s="1831"/>
      <c r="J18" s="1831"/>
      <c r="K18" s="1831"/>
      <c r="L18" s="1831"/>
      <c r="M18" s="1831"/>
      <c r="N18" s="1831"/>
      <c r="O18" s="1831"/>
      <c r="P18" s="1831"/>
      <c r="Q18" s="1831"/>
      <c r="R18" s="1831"/>
      <c r="S18" s="1697"/>
    </row>
    <row r="19" spans="1:19" ht="12" hidden="1" customHeight="1">
      <c r="A19" s="2775">
        <v>41306</v>
      </c>
      <c r="B19" s="1709">
        <v>7.6</v>
      </c>
      <c r="C19" s="2770">
        <v>6.93</v>
      </c>
      <c r="D19" s="1709">
        <v>0.85126670037078322</v>
      </c>
      <c r="E19" s="1709">
        <f t="shared" ref="E19:E24" si="0">+B19/C19</f>
        <v>1.0966810966810967</v>
      </c>
      <c r="F19" s="1155"/>
      <c r="G19" s="1831"/>
      <c r="H19" s="1831"/>
      <c r="I19" s="1831"/>
      <c r="J19" s="1831"/>
      <c r="K19" s="1831"/>
      <c r="L19" s="1831"/>
      <c r="M19" s="1831"/>
      <c r="N19" s="1831"/>
      <c r="O19" s="1831"/>
      <c r="P19" s="1831"/>
      <c r="Q19" s="1831"/>
      <c r="R19" s="1831"/>
      <c r="S19" s="1697"/>
    </row>
    <row r="20" spans="1:19" ht="12" hidden="1" customHeight="1">
      <c r="A20" s="2775">
        <v>41334</v>
      </c>
      <c r="B20" s="1709">
        <v>7.6</v>
      </c>
      <c r="C20" s="2770">
        <v>6.76</v>
      </c>
      <c r="D20" s="1709">
        <v>9.624494305570817</v>
      </c>
      <c r="E20" s="1709">
        <f t="shared" si="0"/>
        <v>1.1242603550295858</v>
      </c>
      <c r="F20" s="1155"/>
      <c r="G20" s="1831"/>
      <c r="H20" s="1831"/>
      <c r="I20" s="1831"/>
      <c r="J20" s="1831"/>
      <c r="K20" s="1831"/>
      <c r="L20" s="1831"/>
      <c r="M20" s="1831"/>
      <c r="N20" s="1831"/>
      <c r="O20" s="1831"/>
      <c r="P20" s="1831"/>
      <c r="Q20" s="1831"/>
      <c r="R20" s="1831"/>
      <c r="S20" s="1697"/>
    </row>
    <row r="21" spans="1:19" ht="12" hidden="1" customHeight="1">
      <c r="A21" s="2775">
        <v>41365</v>
      </c>
      <c r="B21" s="1709">
        <v>7.6</v>
      </c>
      <c r="C21" s="2770">
        <v>6.660000000000001</v>
      </c>
      <c r="D21" s="1709">
        <v>2.7144429496094515</v>
      </c>
      <c r="E21" s="1709">
        <f t="shared" si="0"/>
        <v>1.141141141141141</v>
      </c>
      <c r="F21" s="1155"/>
      <c r="G21" s="1831"/>
      <c r="H21" s="1831"/>
      <c r="I21" s="1831"/>
      <c r="J21" s="1831"/>
      <c r="K21" s="1831"/>
      <c r="L21" s="1831"/>
      <c r="M21" s="1831"/>
      <c r="N21" s="1831"/>
      <c r="O21" s="1831"/>
      <c r="P21" s="1831"/>
      <c r="Q21" s="1831"/>
      <c r="R21" s="1831"/>
      <c r="S21" s="1697"/>
    </row>
    <row r="22" spans="1:19" ht="12" hidden="1" customHeight="1">
      <c r="A22" s="2775">
        <v>41395</v>
      </c>
      <c r="B22" s="1709">
        <v>7.6</v>
      </c>
      <c r="C22" s="2770">
        <v>7.1400000000000006</v>
      </c>
      <c r="D22" s="1709">
        <v>9.8919421442933437</v>
      </c>
      <c r="E22" s="1709">
        <f t="shared" si="0"/>
        <v>1.064425770308123</v>
      </c>
      <c r="F22" s="1155"/>
      <c r="G22" s="1831"/>
      <c r="H22" s="1831"/>
      <c r="I22" s="1831"/>
      <c r="J22" s="1831"/>
      <c r="K22" s="1831"/>
      <c r="L22" s="1831"/>
      <c r="M22" s="1831"/>
      <c r="N22" s="1831"/>
      <c r="O22" s="1831"/>
      <c r="P22" s="1831"/>
      <c r="Q22" s="1831"/>
      <c r="R22" s="1831"/>
      <c r="S22" s="1697"/>
    </row>
    <row r="23" spans="1:19" ht="12" hidden="1" customHeight="1">
      <c r="A23" s="2775">
        <v>41426</v>
      </c>
      <c r="B23" s="1709">
        <v>7.6</v>
      </c>
      <c r="C23" s="2770">
        <v>6.8000000000000007</v>
      </c>
      <c r="D23" s="1709">
        <v>1.1358485883091587</v>
      </c>
      <c r="E23" s="1709">
        <f t="shared" si="0"/>
        <v>1.1176470588235292</v>
      </c>
      <c r="F23" s="1155"/>
      <c r="G23" s="1831"/>
      <c r="H23" s="1831"/>
      <c r="I23" s="1831"/>
      <c r="J23" s="1831"/>
      <c r="K23" s="1831"/>
      <c r="L23" s="1831"/>
      <c r="M23" s="1831"/>
      <c r="N23" s="1831"/>
      <c r="O23" s="1831"/>
      <c r="P23" s="1831"/>
      <c r="Q23" s="1831"/>
      <c r="R23" s="1831"/>
      <c r="S23" s="1697"/>
    </row>
    <row r="24" spans="1:19" ht="12" hidden="1" customHeight="1">
      <c r="A24" s="2775">
        <v>41456</v>
      </c>
      <c r="B24" s="1709">
        <v>7.6</v>
      </c>
      <c r="C24" s="2770">
        <v>6.8199999999999994</v>
      </c>
      <c r="D24" s="1709">
        <v>9.3498735111382238</v>
      </c>
      <c r="E24" s="1709">
        <f t="shared" si="0"/>
        <v>1.1143695014662758</v>
      </c>
      <c r="F24" s="1155"/>
      <c r="G24" s="1831"/>
      <c r="H24" s="1831"/>
      <c r="I24" s="1831"/>
      <c r="J24" s="1831"/>
      <c r="K24" s="1831"/>
      <c r="L24" s="1831"/>
      <c r="M24" s="1831"/>
      <c r="N24" s="1831"/>
      <c r="O24" s="1831"/>
      <c r="P24" s="1831"/>
      <c r="Q24" s="1831"/>
      <c r="R24" s="1831"/>
      <c r="S24" s="1697"/>
    </row>
    <row r="25" spans="1:19" ht="12" hidden="1" customHeight="1">
      <c r="A25" s="2775">
        <v>41487</v>
      </c>
      <c r="B25" s="1709">
        <v>7.6</v>
      </c>
      <c r="C25" s="2770">
        <v>6.78</v>
      </c>
      <c r="D25" s="1709">
        <v>6.7431922377850047</v>
      </c>
      <c r="E25" s="1709">
        <f>B25-C25</f>
        <v>0.8199999999999994</v>
      </c>
      <c r="F25" s="1155"/>
      <c r="G25" s="1831"/>
      <c r="H25" s="1831"/>
      <c r="I25" s="1831"/>
      <c r="J25" s="1831"/>
      <c r="K25" s="1831"/>
      <c r="L25" s="1831"/>
      <c r="M25" s="1831"/>
      <c r="N25" s="1831"/>
      <c r="O25" s="1831"/>
      <c r="P25" s="1831"/>
      <c r="Q25" s="1831"/>
      <c r="R25" s="1831"/>
      <c r="S25" s="1697"/>
    </row>
    <row r="26" spans="1:19" ht="12" hidden="1" customHeight="1">
      <c r="A26" s="2775">
        <v>41518</v>
      </c>
      <c r="B26" s="1709">
        <v>7.6</v>
      </c>
      <c r="C26" s="2770">
        <v>7.1800000000000006</v>
      </c>
      <c r="D26" s="1709">
        <v>7.1404595080220474</v>
      </c>
      <c r="E26" s="1709">
        <f t="shared" ref="E26:E37" si="1">B26-C26</f>
        <v>0.41999999999999904</v>
      </c>
      <c r="F26" s="1155"/>
      <c r="G26" s="1831"/>
      <c r="H26" s="1831"/>
      <c r="I26" s="1831"/>
      <c r="J26" s="1831"/>
      <c r="K26" s="1831"/>
      <c r="L26" s="1831"/>
      <c r="M26" s="1831"/>
      <c r="N26" s="1831"/>
      <c r="O26" s="1831"/>
      <c r="P26" s="1831"/>
      <c r="Q26" s="1831"/>
      <c r="R26" s="1831"/>
      <c r="S26" s="1697"/>
    </row>
    <row r="27" spans="1:19" ht="12" hidden="1" customHeight="1">
      <c r="A27" s="2775">
        <v>41548</v>
      </c>
      <c r="B27" s="1709">
        <v>7.6</v>
      </c>
      <c r="C27" s="2770">
        <v>7.6</v>
      </c>
      <c r="D27" s="1709">
        <v>12.500885207784728</v>
      </c>
      <c r="E27" s="1709">
        <f t="shared" si="1"/>
        <v>0</v>
      </c>
      <c r="F27" s="1155"/>
      <c r="G27" s="1831"/>
      <c r="H27" s="1831"/>
      <c r="I27" s="1831"/>
      <c r="J27" s="1831"/>
      <c r="K27" s="1831"/>
      <c r="L27" s="1831"/>
      <c r="M27" s="1831"/>
      <c r="N27" s="1831"/>
      <c r="O27" s="1831"/>
      <c r="P27" s="1831"/>
      <c r="Q27" s="1831"/>
      <c r="R27" s="1831"/>
      <c r="S27" s="1697"/>
    </row>
    <row r="28" spans="1:19" ht="12" hidden="1" customHeight="1">
      <c r="A28" s="2775">
        <v>41579</v>
      </c>
      <c r="B28" s="1709">
        <v>7.6</v>
      </c>
      <c r="C28" s="2770">
        <v>7.3400000000000007</v>
      </c>
      <c r="D28" s="1709">
        <v>6.0569823148340962</v>
      </c>
      <c r="E28" s="1709">
        <f t="shared" si="1"/>
        <v>0.2599999999999989</v>
      </c>
      <c r="F28" s="1155"/>
      <c r="G28" s="1831"/>
      <c r="H28" s="1831"/>
      <c r="I28" s="1831"/>
      <c r="J28" s="1831"/>
      <c r="K28" s="1831"/>
      <c r="L28" s="1831"/>
      <c r="M28" s="1831"/>
      <c r="N28" s="1831"/>
      <c r="O28" s="1831"/>
      <c r="P28" s="1831"/>
      <c r="Q28" s="1831"/>
      <c r="R28" s="1831"/>
      <c r="S28" s="1697"/>
    </row>
    <row r="29" spans="1:19" ht="12" hidden="1" customHeight="1" thickBot="1">
      <c r="A29" s="2776">
        <v>41609</v>
      </c>
      <c r="B29" s="1710">
        <v>7.6</v>
      </c>
      <c r="C29" s="2769">
        <v>7.5600000000000005</v>
      </c>
      <c r="D29" s="1710">
        <v>14.196665696199965</v>
      </c>
      <c r="E29" s="1710">
        <f t="shared" si="1"/>
        <v>3.9999999999999147E-2</v>
      </c>
      <c r="F29" s="1155"/>
      <c r="G29" s="1831"/>
      <c r="H29" s="1831"/>
      <c r="I29" s="1831"/>
      <c r="J29" s="1831"/>
      <c r="K29" s="1831"/>
      <c r="L29" s="1831"/>
      <c r="M29" s="1831"/>
      <c r="N29" s="1831"/>
      <c r="O29" s="1831"/>
      <c r="P29" s="1831"/>
      <c r="Q29" s="1831"/>
      <c r="R29" s="1831"/>
      <c r="S29" s="1697"/>
    </row>
    <row r="30" spans="1:19" ht="12" hidden="1" customHeight="1">
      <c r="A30" s="1702">
        <v>41640</v>
      </c>
      <c r="B30" s="1708">
        <v>7.6</v>
      </c>
      <c r="C30" s="2768">
        <v>8.1</v>
      </c>
      <c r="D30" s="1711">
        <v>12.180782896227212</v>
      </c>
      <c r="E30" s="1708">
        <f t="shared" si="1"/>
        <v>-0.5</v>
      </c>
      <c r="F30" s="1155"/>
      <c r="G30" s="1831"/>
      <c r="H30" s="1831"/>
      <c r="I30" s="1831"/>
      <c r="J30" s="1831"/>
      <c r="K30" s="1831"/>
      <c r="L30" s="1831"/>
      <c r="M30" s="1831"/>
      <c r="N30" s="1831"/>
      <c r="O30" s="1831"/>
      <c r="P30" s="1831"/>
      <c r="Q30" s="1831"/>
      <c r="R30" s="1831"/>
      <c r="S30" s="1697"/>
    </row>
    <row r="31" spans="1:19" ht="12" hidden="1" customHeight="1">
      <c r="A31" s="1703">
        <v>41671</v>
      </c>
      <c r="B31" s="1709">
        <v>7.6</v>
      </c>
      <c r="C31" s="2770">
        <v>8.77</v>
      </c>
      <c r="D31" s="1709">
        <v>8.5035731494404985</v>
      </c>
      <c r="E31" s="1709">
        <f t="shared" si="1"/>
        <v>-1.17</v>
      </c>
      <c r="F31" s="1155"/>
      <c r="G31" s="1831"/>
      <c r="H31" s="1831"/>
      <c r="I31" s="1831"/>
      <c r="J31" s="1831"/>
      <c r="K31" s="1831"/>
      <c r="L31" s="1831"/>
      <c r="M31" s="1831"/>
      <c r="N31" s="1831"/>
      <c r="O31" s="1831"/>
      <c r="P31" s="1831"/>
      <c r="Q31" s="1831"/>
      <c r="R31" s="1831"/>
      <c r="S31" s="1697"/>
    </row>
    <row r="32" spans="1:19" ht="12" hidden="1" customHeight="1">
      <c r="A32" s="1703">
        <v>41699</v>
      </c>
      <c r="B32" s="1709">
        <v>7.6</v>
      </c>
      <c r="C32" s="2770">
        <v>8.6999999999999993</v>
      </c>
      <c r="D32" s="1709">
        <v>8.9192347911668808</v>
      </c>
      <c r="E32" s="1709">
        <f t="shared" si="1"/>
        <v>-1.0999999999999996</v>
      </c>
      <c r="F32" s="1155"/>
      <c r="G32" s="1831"/>
      <c r="H32" s="1831"/>
      <c r="I32" s="1831"/>
      <c r="J32" s="1831"/>
      <c r="K32" s="1831"/>
      <c r="L32" s="1831"/>
      <c r="M32" s="1831"/>
      <c r="N32" s="1831"/>
      <c r="O32" s="1831"/>
      <c r="P32" s="1831"/>
      <c r="Q32" s="1831"/>
      <c r="R32" s="1831"/>
      <c r="S32" s="1697"/>
    </row>
    <row r="33" spans="1:19" ht="12" hidden="1" customHeight="1">
      <c r="A33" s="1703">
        <v>41730</v>
      </c>
      <c r="B33" s="1709">
        <v>7.6</v>
      </c>
      <c r="C33" s="2770">
        <v>9.01</v>
      </c>
      <c r="D33" s="1709">
        <v>8.3304697549267601</v>
      </c>
      <c r="E33" s="1709">
        <f t="shared" si="1"/>
        <v>-1.4100000000000001</v>
      </c>
      <c r="F33" s="1155"/>
      <c r="G33" s="1831"/>
      <c r="H33" s="1831"/>
      <c r="I33" s="1831"/>
      <c r="J33" s="1831"/>
      <c r="K33" s="1831"/>
      <c r="L33" s="1831"/>
      <c r="M33" s="1831"/>
      <c r="N33" s="1831"/>
      <c r="O33" s="1831"/>
      <c r="P33" s="1831"/>
      <c r="Q33" s="1831"/>
      <c r="R33" s="1831"/>
      <c r="S33" s="1697"/>
    </row>
    <row r="34" spans="1:19" ht="20.100000000000001" hidden="1" customHeight="1">
      <c r="A34" s="1703">
        <v>41760</v>
      </c>
      <c r="B34" s="1709">
        <v>7.6</v>
      </c>
      <c r="C34" s="2770">
        <v>8.3699999999999992</v>
      </c>
      <c r="D34" s="1709">
        <v>5.46</v>
      </c>
      <c r="E34" s="1709">
        <f t="shared" si="1"/>
        <v>-0.76999999999999957</v>
      </c>
      <c r="F34" s="1155"/>
      <c r="G34" s="1831"/>
      <c r="H34" s="1831"/>
      <c r="I34" s="1831"/>
      <c r="J34" s="1831"/>
      <c r="K34" s="1831"/>
      <c r="L34" s="1831"/>
      <c r="M34" s="1831"/>
      <c r="N34" s="1831"/>
      <c r="O34" s="1831"/>
      <c r="P34" s="1831"/>
      <c r="Q34" s="1831"/>
      <c r="R34" s="1831"/>
      <c r="S34" s="1697"/>
    </row>
    <row r="35" spans="1:19" ht="20.100000000000001" hidden="1" customHeight="1">
      <c r="A35" s="1703">
        <v>41791</v>
      </c>
      <c r="B35" s="1709">
        <v>7.6</v>
      </c>
      <c r="C35" s="2770">
        <v>8.65</v>
      </c>
      <c r="D35" s="1709">
        <v>5.83</v>
      </c>
      <c r="E35" s="1709">
        <f t="shared" si="1"/>
        <v>-1.0500000000000007</v>
      </c>
      <c r="F35" s="1155"/>
      <c r="G35" s="1831"/>
      <c r="H35" s="1831"/>
      <c r="I35" s="1831"/>
      <c r="J35" s="1831"/>
      <c r="K35" s="1831"/>
      <c r="L35" s="1831"/>
      <c r="M35" s="1831"/>
      <c r="N35" s="1831"/>
      <c r="O35" s="1831"/>
      <c r="P35" s="1831"/>
      <c r="Q35" s="1831"/>
      <c r="R35" s="1831"/>
      <c r="S35" s="1697"/>
    </row>
    <row r="36" spans="1:19" ht="20.100000000000001" hidden="1" customHeight="1">
      <c r="A36" s="2487">
        <v>41821</v>
      </c>
      <c r="B36" s="1710">
        <v>7.6</v>
      </c>
      <c r="C36" s="2769">
        <v>8.44</v>
      </c>
      <c r="D36" s="1710">
        <v>6.7528632945035101</v>
      </c>
      <c r="E36" s="1710">
        <f t="shared" si="1"/>
        <v>-0.83999999999999986</v>
      </c>
      <c r="F36" s="1155"/>
      <c r="G36" s="1831"/>
      <c r="H36" s="1831"/>
      <c r="I36" s="1831"/>
      <c r="J36" s="1831"/>
      <c r="K36" s="1831"/>
      <c r="L36" s="1831"/>
      <c r="M36" s="1831"/>
      <c r="N36" s="1831"/>
      <c r="O36" s="1831"/>
      <c r="P36" s="1831"/>
      <c r="Q36" s="1831"/>
      <c r="R36" s="1831"/>
      <c r="S36" s="1697"/>
    </row>
    <row r="37" spans="1:19" ht="20.100000000000001" hidden="1" customHeight="1">
      <c r="A37" s="1703">
        <v>41852</v>
      </c>
      <c r="B37" s="1709">
        <v>7.6</v>
      </c>
      <c r="C37" s="2770">
        <v>8.32</v>
      </c>
      <c r="D37" s="1709">
        <v>5.4315603650437065</v>
      </c>
      <c r="E37" s="1709">
        <f t="shared" si="1"/>
        <v>-0.72000000000000064</v>
      </c>
      <c r="F37" s="1155"/>
      <c r="G37" s="1831"/>
      <c r="H37" s="1831"/>
      <c r="I37" s="1831"/>
      <c r="J37" s="1831"/>
      <c r="K37" s="1831"/>
      <c r="L37" s="1831"/>
      <c r="M37" s="1831"/>
      <c r="N37" s="1831"/>
      <c r="O37" s="1831"/>
      <c r="P37" s="1831"/>
      <c r="Q37" s="1831"/>
      <c r="R37" s="1831"/>
      <c r="S37" s="1697"/>
    </row>
    <row r="38" spans="1:19" ht="20.100000000000001" hidden="1" customHeight="1">
      <c r="A38" s="1703">
        <v>41883</v>
      </c>
      <c r="B38" s="1709">
        <v>7.6</v>
      </c>
      <c r="C38" s="2770">
        <v>8.3000000000000007</v>
      </c>
      <c r="D38" s="1709">
        <v>7.0778003512860819</v>
      </c>
      <c r="E38" s="1709">
        <f>B38-C38</f>
        <v>-0.70000000000000107</v>
      </c>
      <c r="F38" s="1155"/>
      <c r="G38" s="1831"/>
      <c r="H38" s="1831"/>
      <c r="I38" s="1831"/>
      <c r="J38" s="1831"/>
      <c r="K38" s="1831"/>
      <c r="L38" s="1831"/>
      <c r="M38" s="1831"/>
      <c r="N38" s="1831"/>
      <c r="O38" s="1831"/>
      <c r="P38" s="1831"/>
      <c r="Q38" s="1831"/>
      <c r="R38" s="1831"/>
      <c r="S38" s="1697"/>
    </row>
    <row r="39" spans="1:19" ht="20.100000000000001" hidden="1" customHeight="1">
      <c r="A39" s="1703">
        <v>41913</v>
      </c>
      <c r="B39" s="1709">
        <v>7.6</v>
      </c>
      <c r="C39" s="2770">
        <v>8.25</v>
      </c>
      <c r="D39" s="1709">
        <v>11.28</v>
      </c>
      <c r="E39" s="1709">
        <f>B39-C39</f>
        <v>-0.65000000000000036</v>
      </c>
      <c r="F39" s="1155"/>
      <c r="G39" s="1831"/>
      <c r="H39" s="1831"/>
      <c r="I39" s="1831"/>
      <c r="J39" s="1831"/>
      <c r="K39" s="1831"/>
      <c r="L39" s="1831"/>
      <c r="M39" s="1831"/>
      <c r="N39" s="1831"/>
      <c r="O39" s="1831"/>
      <c r="P39" s="1831"/>
      <c r="Q39" s="1831"/>
      <c r="R39" s="1831"/>
      <c r="S39" s="1697"/>
    </row>
    <row r="40" spans="1:19" ht="12.75" hidden="1" thickBot="1">
      <c r="A40" s="1703">
        <v>41944</v>
      </c>
      <c r="B40" s="1709">
        <v>7.6</v>
      </c>
      <c r="C40" s="2770">
        <v>8.52</v>
      </c>
      <c r="D40" s="1709">
        <v>9.9</v>
      </c>
      <c r="E40" s="1709">
        <f>B40-C40</f>
        <v>-0.91999999999999993</v>
      </c>
      <c r="F40" s="1155"/>
      <c r="G40" s="1831"/>
      <c r="H40" s="1831"/>
      <c r="I40" s="1831"/>
      <c r="J40" s="1831"/>
      <c r="K40" s="1831"/>
      <c r="L40" s="1831"/>
      <c r="M40" s="1831"/>
      <c r="N40" s="1831"/>
      <c r="O40" s="1831"/>
      <c r="P40" s="1831"/>
      <c r="Q40" s="1831"/>
      <c r="R40" s="1831"/>
      <c r="S40" s="1697"/>
    </row>
    <row r="41" spans="1:19" ht="12.75" hidden="1" thickBot="1">
      <c r="A41" s="1703">
        <v>41974</v>
      </c>
      <c r="B41" s="1709">
        <v>7.6</v>
      </c>
      <c r="C41" s="2770">
        <v>8.0399999999999991</v>
      </c>
      <c r="D41" s="1709">
        <v>10.11</v>
      </c>
      <c r="E41" s="1709">
        <v>-0.64000000000000057</v>
      </c>
      <c r="F41" s="1155"/>
      <c r="G41" s="1831"/>
      <c r="H41" s="1831"/>
      <c r="I41" s="1831"/>
      <c r="J41" s="1831"/>
      <c r="K41" s="1831"/>
      <c r="L41" s="1831"/>
      <c r="M41" s="1831"/>
      <c r="N41" s="1831"/>
      <c r="O41" s="1831"/>
      <c r="P41" s="1831"/>
      <c r="Q41" s="1831"/>
      <c r="R41" s="1831"/>
      <c r="S41" s="1697"/>
    </row>
    <row r="42" spans="1:19" ht="12.75" hidden="1" thickBot="1">
      <c r="A42" s="2487">
        <v>42005</v>
      </c>
      <c r="B42" s="1710">
        <v>7</v>
      </c>
      <c r="C42" s="2777">
        <v>7.8970148344549225</v>
      </c>
      <c r="D42" s="1712">
        <v>8.2015035259918747</v>
      </c>
      <c r="E42" s="1710">
        <f t="shared" ref="E42:E61" si="2">B42-C42</f>
        <v>-0.89701483445492247</v>
      </c>
      <c r="F42" s="1155"/>
      <c r="G42" s="1831"/>
      <c r="H42" s="1831"/>
      <c r="I42" s="1831"/>
      <c r="J42" s="1831"/>
      <c r="K42" s="1831"/>
      <c r="L42" s="1831"/>
      <c r="M42" s="1831"/>
      <c r="N42" s="1831"/>
      <c r="O42" s="1831"/>
      <c r="P42" s="1831"/>
      <c r="Q42" s="1831"/>
      <c r="R42" s="1831"/>
      <c r="S42" s="1697"/>
    </row>
    <row r="43" spans="1:19" ht="12.75" hidden="1" thickBot="1">
      <c r="A43" s="1702">
        <v>42036</v>
      </c>
      <c r="B43" s="1708">
        <v>7</v>
      </c>
      <c r="C43" s="2778">
        <v>8.0669738070094787</v>
      </c>
      <c r="D43" s="1705">
        <v>10.323424606364812</v>
      </c>
      <c r="E43" s="1708">
        <f t="shared" si="2"/>
        <v>-1.0669738070094787</v>
      </c>
      <c r="F43" s="1155"/>
      <c r="G43" s="1831"/>
      <c r="H43" s="1831"/>
      <c r="I43" s="1831"/>
      <c r="J43" s="1831"/>
      <c r="K43" s="1831"/>
      <c r="L43" s="1831"/>
      <c r="M43" s="1831"/>
      <c r="N43" s="1831"/>
      <c r="O43" s="1831"/>
      <c r="P43" s="1831"/>
      <c r="Q43" s="1831"/>
      <c r="R43" s="1831"/>
      <c r="S43" s="1697"/>
    </row>
    <row r="44" spans="1:19" ht="12.75" hidden="1" thickBot="1">
      <c r="A44" s="1703">
        <v>42064</v>
      </c>
      <c r="B44" s="1709">
        <v>7</v>
      </c>
      <c r="C44" s="2779">
        <v>7.9789879352878179</v>
      </c>
      <c r="D44" s="1713">
        <v>8.0098880724133377</v>
      </c>
      <c r="E44" s="1709">
        <f t="shared" si="2"/>
        <v>-0.97898793528781791</v>
      </c>
      <c r="F44" s="1155"/>
      <c r="G44" s="1831"/>
      <c r="H44" s="1831"/>
      <c r="I44" s="1831"/>
      <c r="J44" s="1831"/>
      <c r="K44" s="1831"/>
      <c r="L44" s="1831"/>
      <c r="M44" s="1831"/>
      <c r="N44" s="1831"/>
      <c r="O44" s="1831"/>
      <c r="P44" s="1831"/>
      <c r="Q44" s="1831"/>
      <c r="R44" s="1831"/>
      <c r="S44" s="1697"/>
    </row>
    <row r="45" spans="1:19" ht="12.75" hidden="1" thickBot="1">
      <c r="A45" s="1703">
        <v>42095</v>
      </c>
      <c r="B45" s="1709">
        <v>7</v>
      </c>
      <c r="C45" s="2779">
        <v>7.810509489061551</v>
      </c>
      <c r="D45" s="1713">
        <v>6.6005368077192301</v>
      </c>
      <c r="E45" s="1709">
        <f t="shared" si="2"/>
        <v>-0.81050948906155096</v>
      </c>
      <c r="F45" s="1155"/>
      <c r="G45" s="1831"/>
      <c r="H45" s="1831"/>
      <c r="I45" s="1831"/>
      <c r="J45" s="1831"/>
      <c r="K45" s="1831"/>
      <c r="L45" s="1831"/>
      <c r="M45" s="1831"/>
      <c r="N45" s="1831"/>
      <c r="O45" s="1831"/>
      <c r="P45" s="1831"/>
      <c r="Q45" s="1831"/>
      <c r="R45" s="1831"/>
      <c r="S45" s="1697"/>
    </row>
    <row r="46" spans="1:19" ht="12.75" hidden="1" thickBot="1">
      <c r="A46" s="1703">
        <v>42125</v>
      </c>
      <c r="B46" s="1709">
        <v>7</v>
      </c>
      <c r="C46" s="2779">
        <v>7.9039605574206151</v>
      </c>
      <c r="D46" s="1713">
        <v>5.7233430059271564</v>
      </c>
      <c r="E46" s="1709">
        <f t="shared" si="2"/>
        <v>-0.9039605574206151</v>
      </c>
      <c r="F46" s="1155"/>
      <c r="G46" s="1831"/>
      <c r="H46" s="1831"/>
      <c r="I46" s="1831"/>
      <c r="J46" s="1831"/>
      <c r="K46" s="1831"/>
      <c r="L46" s="1831"/>
      <c r="M46" s="1831"/>
      <c r="N46" s="1831"/>
      <c r="O46" s="1831"/>
      <c r="P46" s="1831"/>
      <c r="Q46" s="1831"/>
      <c r="R46" s="1831"/>
      <c r="S46" s="1697"/>
    </row>
    <row r="47" spans="1:19" ht="12.75" hidden="1" thickBot="1">
      <c r="A47" s="2487">
        <v>42156</v>
      </c>
      <c r="B47" s="1710">
        <v>7</v>
      </c>
      <c r="C47" s="2780">
        <v>8.2770829070485394</v>
      </c>
      <c r="D47" s="1714">
        <v>10.156040986767167</v>
      </c>
      <c r="E47" s="1710">
        <f t="shared" si="2"/>
        <v>-1.2770829070485394</v>
      </c>
      <c r="F47" s="1155"/>
      <c r="G47" s="1831"/>
      <c r="H47" s="1831"/>
      <c r="I47" s="1831"/>
      <c r="J47" s="1831"/>
      <c r="K47" s="1831"/>
      <c r="L47" s="1831"/>
      <c r="M47" s="1831"/>
      <c r="N47" s="1831"/>
      <c r="O47" s="1831"/>
      <c r="P47" s="1831"/>
      <c r="Q47" s="1831"/>
      <c r="R47" s="1831"/>
      <c r="S47" s="1697"/>
    </row>
    <row r="48" spans="1:19" ht="12.75" hidden="1" thickBot="1">
      <c r="A48" s="1702">
        <v>42186</v>
      </c>
      <c r="B48" s="1708">
        <v>7</v>
      </c>
      <c r="C48" s="2778">
        <v>8.2836318364091088</v>
      </c>
      <c r="D48" s="1705">
        <v>7.0947818760858592</v>
      </c>
      <c r="E48" s="1708">
        <f t="shared" si="2"/>
        <v>-1.2836318364091088</v>
      </c>
      <c r="F48" s="1155"/>
      <c r="G48" s="1831"/>
      <c r="H48" s="1831"/>
      <c r="I48" s="1831"/>
      <c r="J48" s="1831"/>
      <c r="K48" s="1831"/>
      <c r="L48" s="1831"/>
      <c r="M48" s="1831"/>
      <c r="N48" s="1831"/>
      <c r="O48" s="1831"/>
      <c r="P48" s="1831"/>
      <c r="Q48" s="1831"/>
      <c r="R48" s="1831"/>
      <c r="S48" s="1697"/>
    </row>
    <row r="49" spans="1:19" ht="12.75" hidden="1" thickBot="1">
      <c r="A49" s="1703">
        <v>42217</v>
      </c>
      <c r="B49" s="1709">
        <v>7</v>
      </c>
      <c r="C49" s="2779">
        <v>8.1742750107166717</v>
      </c>
      <c r="D49" s="1713">
        <v>4.384513032238111</v>
      </c>
      <c r="E49" s="1709">
        <f t="shared" si="2"/>
        <v>-1.1742750107166717</v>
      </c>
      <c r="F49" s="1155"/>
      <c r="G49" s="1831"/>
      <c r="H49" s="1831"/>
      <c r="I49" s="1831"/>
      <c r="J49" s="1831"/>
      <c r="K49" s="1831"/>
      <c r="L49" s="1831"/>
      <c r="M49" s="1831"/>
      <c r="N49" s="1831"/>
      <c r="O49" s="1831"/>
      <c r="P49" s="1831"/>
      <c r="Q49" s="1831"/>
      <c r="R49" s="1831"/>
      <c r="S49" s="1697"/>
    </row>
    <row r="50" spans="1:19" ht="12.75" hidden="1" thickBot="1">
      <c r="A50" s="2487">
        <v>42248</v>
      </c>
      <c r="B50" s="1710">
        <v>7</v>
      </c>
      <c r="C50" s="2780">
        <v>7.9648140890969277</v>
      </c>
      <c r="D50" s="1714">
        <v>4.3856912693963208</v>
      </c>
      <c r="E50" s="1710">
        <f t="shared" si="2"/>
        <v>-0.96481408909692767</v>
      </c>
      <c r="F50" s="1155"/>
      <c r="G50" s="1831"/>
      <c r="H50" s="1831"/>
      <c r="I50" s="1831"/>
      <c r="J50" s="1831"/>
      <c r="K50" s="1831"/>
      <c r="L50" s="1831"/>
      <c r="M50" s="1831"/>
      <c r="N50" s="1831"/>
      <c r="O50" s="1831"/>
      <c r="P50" s="1831"/>
      <c r="Q50" s="1831"/>
      <c r="R50" s="1831"/>
      <c r="S50" s="1697"/>
    </row>
    <row r="51" spans="1:19" ht="12.75" hidden="1" thickBot="1">
      <c r="A51" s="1702">
        <v>42278</v>
      </c>
      <c r="B51" s="1708">
        <v>7</v>
      </c>
      <c r="C51" s="2778">
        <v>7.9087285468045039</v>
      </c>
      <c r="D51" s="1705">
        <v>10.083791191814306</v>
      </c>
      <c r="E51" s="1708">
        <f t="shared" si="2"/>
        <v>-0.90872854680450388</v>
      </c>
      <c r="F51" s="1155"/>
      <c r="G51" s="1831"/>
      <c r="H51" s="1831"/>
      <c r="I51" s="1831"/>
      <c r="J51" s="1831"/>
      <c r="K51" s="1831"/>
      <c r="L51" s="1831"/>
      <c r="M51" s="1831"/>
      <c r="N51" s="1831"/>
      <c r="O51" s="1831"/>
      <c r="P51" s="1831"/>
      <c r="Q51" s="1831"/>
      <c r="R51" s="1831"/>
      <c r="S51" s="1697"/>
    </row>
    <row r="52" spans="1:19" ht="12.75" hidden="1" thickBot="1">
      <c r="A52" s="1703">
        <v>42309</v>
      </c>
      <c r="B52" s="1709">
        <v>7</v>
      </c>
      <c r="C52" s="2779">
        <v>8.4646751398290689</v>
      </c>
      <c r="D52" s="1713">
        <v>16.501589981664537</v>
      </c>
      <c r="E52" s="1709">
        <f t="shared" si="2"/>
        <v>-1.4646751398290689</v>
      </c>
      <c r="F52" s="1155"/>
      <c r="G52" s="1831"/>
      <c r="H52" s="1831"/>
      <c r="I52" s="1831"/>
      <c r="J52" s="1831"/>
      <c r="K52" s="1831"/>
      <c r="L52" s="1831"/>
      <c r="M52" s="1831"/>
      <c r="N52" s="1831"/>
      <c r="O52" s="1831"/>
      <c r="P52" s="1831"/>
      <c r="Q52" s="1831"/>
      <c r="R52" s="1831"/>
      <c r="S52" s="1697"/>
    </row>
    <row r="53" spans="1:19" ht="12.75" hidden="1" thickBot="1">
      <c r="A53" s="1703">
        <v>42339</v>
      </c>
      <c r="B53" s="1709">
        <v>7</v>
      </c>
      <c r="C53" s="2779">
        <v>8.637547194562341</v>
      </c>
      <c r="D53" s="1713">
        <v>11.766679091381741</v>
      </c>
      <c r="E53" s="1709">
        <f t="shared" si="2"/>
        <v>-1.637547194562341</v>
      </c>
      <c r="F53" s="1155"/>
      <c r="G53" s="1831"/>
      <c r="H53" s="1831"/>
      <c r="I53" s="1831"/>
      <c r="J53" s="1831"/>
      <c r="K53" s="1831"/>
      <c r="L53" s="1831"/>
      <c r="M53" s="1831"/>
      <c r="N53" s="1831"/>
      <c r="O53" s="1831"/>
      <c r="P53" s="1831"/>
      <c r="Q53" s="1831"/>
      <c r="R53" s="1831"/>
      <c r="S53" s="1697"/>
    </row>
    <row r="54" spans="1:19" ht="12.75" hidden="1" thickBot="1">
      <c r="A54" s="2487">
        <v>42370</v>
      </c>
      <c r="B54" s="1710">
        <v>7</v>
      </c>
      <c r="C54" s="2780">
        <v>9.2207531827834153</v>
      </c>
      <c r="D54" s="1714">
        <v>14.571293805112118</v>
      </c>
      <c r="E54" s="1709">
        <f t="shared" si="2"/>
        <v>-2.2207531827834153</v>
      </c>
      <c r="F54" s="1155"/>
      <c r="G54" s="1831"/>
      <c r="H54" s="1831"/>
      <c r="I54" s="1831"/>
      <c r="J54" s="1831"/>
      <c r="K54" s="1831"/>
      <c r="L54" s="1831"/>
      <c r="M54" s="1831"/>
      <c r="N54" s="1831"/>
      <c r="O54" s="1831"/>
      <c r="P54" s="1831"/>
      <c r="Q54" s="1831"/>
      <c r="R54" s="1831"/>
      <c r="S54" s="1697"/>
    </row>
    <row r="55" spans="1:19" ht="12.75" hidden="1" thickBot="1">
      <c r="A55" s="2487">
        <v>42401</v>
      </c>
      <c r="B55" s="1710">
        <v>7</v>
      </c>
      <c r="C55" s="2780">
        <v>8.7124208299520305</v>
      </c>
      <c r="D55" s="1714">
        <v>4.4315631796423389</v>
      </c>
      <c r="E55" s="1709">
        <f t="shared" si="2"/>
        <v>-1.7124208299520305</v>
      </c>
      <c r="F55" s="1155"/>
      <c r="G55" s="1831"/>
      <c r="H55" s="1831"/>
      <c r="I55" s="1831"/>
      <c r="J55" s="1831"/>
      <c r="K55" s="1831"/>
      <c r="L55" s="1831"/>
      <c r="M55" s="1831"/>
      <c r="N55" s="1831"/>
      <c r="O55" s="1831"/>
      <c r="P55" s="1831"/>
      <c r="Q55" s="1831"/>
      <c r="R55" s="1831"/>
      <c r="S55" s="1697"/>
    </row>
    <row r="56" spans="1:19" ht="12.75" hidden="1" thickBot="1">
      <c r="A56" s="1703">
        <v>42430</v>
      </c>
      <c r="B56" s="1709">
        <v>7</v>
      </c>
      <c r="C56" s="2780">
        <v>9.08</v>
      </c>
      <c r="D56" s="1713">
        <v>11.78</v>
      </c>
      <c r="E56" s="1709">
        <f t="shared" si="2"/>
        <v>-2.08</v>
      </c>
      <c r="F56" s="1155"/>
      <c r="G56" s="1831"/>
      <c r="H56" s="1831"/>
      <c r="I56" s="1831"/>
      <c r="J56" s="1831"/>
      <c r="K56" s="1831"/>
      <c r="L56" s="1831"/>
      <c r="M56" s="1831"/>
      <c r="N56" s="1831"/>
      <c r="O56" s="1831"/>
      <c r="P56" s="1831"/>
      <c r="Q56" s="1831"/>
      <c r="R56" s="1831"/>
      <c r="S56" s="1697"/>
    </row>
    <row r="57" spans="1:19" ht="12.75" hidden="1" thickBot="1">
      <c r="A57" s="1703">
        <v>42461</v>
      </c>
      <c r="B57" s="1709">
        <v>7</v>
      </c>
      <c r="C57" s="2780">
        <v>8.57</v>
      </c>
      <c r="D57" s="1713">
        <v>0.91</v>
      </c>
      <c r="E57" s="1709">
        <f t="shared" si="2"/>
        <v>-1.5700000000000003</v>
      </c>
      <c r="F57" s="1155"/>
      <c r="G57" s="1831"/>
      <c r="H57" s="1831"/>
      <c r="I57" s="1831"/>
      <c r="J57" s="1831"/>
      <c r="K57" s="1831"/>
      <c r="L57" s="1831"/>
      <c r="M57" s="1831"/>
      <c r="N57" s="1831"/>
      <c r="O57" s="1831"/>
      <c r="P57" s="1831"/>
      <c r="Q57" s="1831"/>
      <c r="R57" s="1831"/>
      <c r="S57" s="1697"/>
    </row>
    <row r="58" spans="1:19" ht="12.75" hidden="1" thickBot="1">
      <c r="A58" s="2487">
        <v>42491</v>
      </c>
      <c r="B58" s="1710">
        <v>7</v>
      </c>
      <c r="C58" s="2780">
        <v>8.9846454101579507</v>
      </c>
      <c r="D58" s="1714">
        <v>10.528883137854354</v>
      </c>
      <c r="E58" s="1709">
        <f t="shared" si="2"/>
        <v>-1.9846454101579507</v>
      </c>
      <c r="F58" s="1155"/>
      <c r="G58" s="1831"/>
      <c r="H58" s="1831"/>
      <c r="I58" s="1831"/>
      <c r="J58" s="1831"/>
      <c r="K58" s="1831"/>
      <c r="L58" s="1831"/>
      <c r="M58" s="1831"/>
      <c r="N58" s="1831"/>
      <c r="O58" s="1831"/>
      <c r="P58" s="1831"/>
      <c r="Q58" s="1831"/>
      <c r="R58" s="1831"/>
      <c r="S58" s="1697"/>
    </row>
    <row r="59" spans="1:19" ht="12.75" hidden="1" thickBot="1">
      <c r="A59" s="2487">
        <v>42522</v>
      </c>
      <c r="B59" s="1710">
        <v>7</v>
      </c>
      <c r="C59" s="2780">
        <v>8.5467314083035806</v>
      </c>
      <c r="D59" s="1714">
        <v>4.6033046835780649</v>
      </c>
      <c r="E59" s="1709">
        <f t="shared" si="2"/>
        <v>-1.5467314083035806</v>
      </c>
      <c r="F59" s="1155"/>
      <c r="G59" s="1831"/>
      <c r="H59" s="1831"/>
      <c r="I59" s="1831"/>
      <c r="J59" s="1831"/>
      <c r="K59" s="1831"/>
      <c r="L59" s="1831"/>
      <c r="M59" s="1831"/>
      <c r="N59" s="1831"/>
      <c r="O59" s="1831"/>
      <c r="P59" s="1831"/>
      <c r="Q59" s="1831"/>
      <c r="R59" s="1831"/>
      <c r="S59" s="1697"/>
    </row>
    <row r="60" spans="1:19" ht="12.75" hidden="1" thickBot="1">
      <c r="A60" s="1703">
        <v>42552</v>
      </c>
      <c r="B60" s="1710">
        <v>7</v>
      </c>
      <c r="C60" s="2779">
        <v>8.6</v>
      </c>
      <c r="D60" s="1713">
        <v>7.61</v>
      </c>
      <c r="E60" s="1709">
        <f t="shared" si="2"/>
        <v>-1.5999999999999996</v>
      </c>
      <c r="F60" s="1155"/>
      <c r="G60" s="1831"/>
      <c r="H60" s="1831"/>
      <c r="I60" s="1831"/>
      <c r="J60" s="1831"/>
      <c r="K60" s="1831"/>
      <c r="L60" s="1831"/>
      <c r="M60" s="1831"/>
      <c r="N60" s="1831"/>
      <c r="O60" s="1831"/>
      <c r="P60" s="1831"/>
      <c r="Q60" s="1831"/>
      <c r="R60" s="1831"/>
      <c r="S60" s="1697"/>
    </row>
    <row r="61" spans="1:19" ht="12.75" hidden="1" thickBot="1">
      <c r="A61" s="1703">
        <v>42583</v>
      </c>
      <c r="B61" s="1710">
        <v>7</v>
      </c>
      <c r="C61" s="2779">
        <v>8.85</v>
      </c>
      <c r="D61" s="1713">
        <v>7.73</v>
      </c>
      <c r="E61" s="1709">
        <f t="shared" si="2"/>
        <v>-1.8499999999999996</v>
      </c>
      <c r="F61" s="1155"/>
      <c r="G61" s="1831"/>
      <c r="H61" s="1831"/>
      <c r="I61" s="1831"/>
      <c r="J61" s="1831"/>
      <c r="K61" s="1831"/>
      <c r="L61" s="1831"/>
      <c r="M61" s="1831"/>
      <c r="N61" s="1831"/>
      <c r="O61" s="1831"/>
      <c r="P61" s="1831"/>
      <c r="Q61" s="1831"/>
      <c r="R61" s="1831"/>
      <c r="S61" s="1697"/>
    </row>
    <row r="62" spans="1:19" ht="20.100000000000001" hidden="1" customHeight="1">
      <c r="A62" s="2487">
        <v>42614</v>
      </c>
      <c r="B62" s="1710">
        <v>7</v>
      </c>
      <c r="C62" s="2780">
        <v>9.2200000000000006</v>
      </c>
      <c r="D62" s="1714">
        <v>9.67</v>
      </c>
      <c r="E62" s="1710">
        <f>B62-C62</f>
        <v>-2.2200000000000006</v>
      </c>
      <c r="F62" s="1155"/>
      <c r="G62" s="1831"/>
      <c r="H62" s="1831"/>
      <c r="I62" s="1831"/>
      <c r="J62" s="1831"/>
      <c r="K62" s="1831"/>
      <c r="L62" s="1831"/>
      <c r="M62" s="1831"/>
      <c r="N62" s="1831"/>
      <c r="O62" s="1831"/>
      <c r="P62" s="1831"/>
      <c r="Q62" s="1831"/>
      <c r="R62" s="1831"/>
      <c r="S62" s="1697"/>
    </row>
    <row r="63" spans="1:19" ht="20.100000000000001" hidden="1" customHeight="1">
      <c r="A63" s="1703">
        <v>42644</v>
      </c>
      <c r="B63" s="1709">
        <v>7</v>
      </c>
      <c r="C63" s="2779">
        <v>9.31</v>
      </c>
      <c r="D63" s="1713">
        <v>11.39</v>
      </c>
      <c r="E63" s="1709">
        <f>B63-C63</f>
        <v>-2.3100000000000005</v>
      </c>
      <c r="F63" s="1155"/>
      <c r="G63" s="1831"/>
      <c r="H63" s="1831"/>
      <c r="I63" s="1831"/>
      <c r="J63" s="1831"/>
      <c r="K63" s="1831"/>
      <c r="L63" s="1831"/>
      <c r="M63" s="1831"/>
      <c r="N63" s="1831"/>
      <c r="O63" s="1831"/>
      <c r="P63" s="1831"/>
      <c r="Q63" s="1831"/>
      <c r="R63" s="1831"/>
      <c r="S63" s="1697"/>
    </row>
    <row r="64" spans="1:19" ht="12.75" hidden="1" thickBot="1">
      <c r="A64" s="1703">
        <v>42675</v>
      </c>
      <c r="B64" s="1710">
        <v>7</v>
      </c>
      <c r="C64" s="2780">
        <v>8.89</v>
      </c>
      <c r="D64" s="1714">
        <v>11.41</v>
      </c>
      <c r="E64" s="1710">
        <f>B64-C64</f>
        <v>-1.8900000000000006</v>
      </c>
      <c r="F64" s="1155"/>
      <c r="G64" s="1831"/>
      <c r="H64" s="1831"/>
      <c r="I64" s="1831"/>
      <c r="J64" s="1831"/>
      <c r="K64" s="1831"/>
      <c r="L64" s="1831"/>
      <c r="M64" s="1831"/>
      <c r="N64" s="1831"/>
      <c r="O64" s="1831"/>
      <c r="P64" s="1831"/>
      <c r="Q64" s="1831"/>
      <c r="R64" s="1831"/>
      <c r="S64" s="1697"/>
    </row>
    <row r="65" spans="1:19" ht="12.75" hidden="1" thickBot="1">
      <c r="A65" s="2487">
        <v>42705</v>
      </c>
      <c r="B65" s="1710">
        <v>7</v>
      </c>
      <c r="C65" s="2780">
        <v>9.1737869244416199</v>
      </c>
      <c r="D65" s="1714">
        <v>15.403238207192652</v>
      </c>
      <c r="E65" s="1710">
        <f>B65-C65</f>
        <v>-2.1737869244416199</v>
      </c>
      <c r="F65" s="1155"/>
      <c r="G65" s="1831"/>
      <c r="H65" s="1831"/>
      <c r="I65" s="1831"/>
      <c r="J65" s="1831"/>
      <c r="K65" s="1831"/>
      <c r="L65" s="1831"/>
      <c r="M65" s="1831"/>
      <c r="N65" s="1831"/>
      <c r="O65" s="1831"/>
      <c r="P65" s="1831"/>
      <c r="Q65" s="1831"/>
      <c r="R65" s="1831"/>
      <c r="S65" s="1697"/>
    </row>
    <row r="66" spans="1:19" ht="21.95" hidden="1" customHeight="1">
      <c r="A66" s="1702">
        <v>42736</v>
      </c>
      <c r="B66" s="1708">
        <v>8.5</v>
      </c>
      <c r="C66" s="2778">
        <v>8.7647715611905195</v>
      </c>
      <c r="D66" s="1705">
        <v>10.265049423518386</v>
      </c>
      <c r="E66" s="1708">
        <f t="shared" ref="E66:E78" si="3">B66-C66</f>
        <v>-0.26477156119051948</v>
      </c>
      <c r="F66" s="1155"/>
      <c r="G66" s="1831"/>
      <c r="H66" s="1831"/>
      <c r="I66" s="1831"/>
      <c r="J66" s="1831"/>
      <c r="K66" s="1831"/>
      <c r="L66" s="1831"/>
      <c r="M66" s="1831"/>
      <c r="N66" s="1831"/>
      <c r="O66" s="1831"/>
      <c r="P66" s="1831"/>
      <c r="Q66" s="1831"/>
      <c r="R66" s="1831"/>
      <c r="S66" s="1697"/>
    </row>
    <row r="67" spans="1:19" ht="21.95" hidden="1" customHeight="1">
      <c r="A67" s="1703">
        <v>42767</v>
      </c>
      <c r="B67" s="1709">
        <v>8.5</v>
      </c>
      <c r="C67" s="2779">
        <v>8.3175148460694199</v>
      </c>
      <c r="D67" s="1713">
        <v>1.349028570454173E-2</v>
      </c>
      <c r="E67" s="1709">
        <f t="shared" si="3"/>
        <v>0.18248515393058007</v>
      </c>
      <c r="F67" s="1155"/>
      <c r="G67" s="1831"/>
      <c r="H67" s="1831"/>
      <c r="I67" s="1831"/>
      <c r="J67" s="1831"/>
      <c r="K67" s="1831"/>
      <c r="L67" s="1831"/>
      <c r="M67" s="1831"/>
      <c r="N67" s="1831"/>
      <c r="O67" s="1831"/>
      <c r="P67" s="1831"/>
      <c r="Q67" s="1831"/>
      <c r="R67" s="1831"/>
      <c r="S67" s="1697"/>
    </row>
    <row r="68" spans="1:19" ht="21.95" hidden="1" customHeight="1">
      <c r="A68" s="2487">
        <v>42795</v>
      </c>
      <c r="B68" s="1710">
        <v>8.5</v>
      </c>
      <c r="C68" s="2780">
        <v>8.6272359367618492</v>
      </c>
      <c r="D68" s="1714">
        <v>14.610534560833155</v>
      </c>
      <c r="E68" s="1710">
        <f t="shared" si="3"/>
        <v>-0.12723593676184919</v>
      </c>
      <c r="F68" s="1155"/>
      <c r="G68" s="1831"/>
      <c r="H68" s="1831"/>
      <c r="I68" s="1831"/>
      <c r="J68" s="1831"/>
      <c r="K68" s="1831"/>
      <c r="L68" s="1831"/>
      <c r="M68" s="1831"/>
      <c r="N68" s="1831"/>
      <c r="O68" s="1831"/>
      <c r="P68" s="1831"/>
      <c r="Q68" s="1831"/>
      <c r="R68" s="1831"/>
      <c r="S68" s="1697"/>
    </row>
    <row r="69" spans="1:19" ht="21.95" hidden="1" customHeight="1">
      <c r="A69" s="1702">
        <v>42826</v>
      </c>
      <c r="B69" s="1708">
        <v>8.5</v>
      </c>
      <c r="C69" s="2778">
        <v>8.48</v>
      </c>
      <c r="D69" s="1705">
        <v>0.3</v>
      </c>
      <c r="E69" s="2491">
        <f t="shared" si="3"/>
        <v>1.9999999999999574E-2</v>
      </c>
      <c r="F69" s="1155"/>
      <c r="G69" s="1831"/>
      <c r="H69" s="1831"/>
      <c r="I69" s="1831"/>
      <c r="J69" s="1831"/>
      <c r="K69" s="1831"/>
      <c r="L69" s="1831"/>
      <c r="M69" s="1831"/>
      <c r="N69" s="1831"/>
      <c r="O69" s="1831"/>
      <c r="P69" s="1831"/>
      <c r="Q69" s="1831"/>
      <c r="R69" s="1831"/>
      <c r="S69" s="1697"/>
    </row>
    <row r="70" spans="1:19" ht="21.95" hidden="1" customHeight="1">
      <c r="A70" s="2487">
        <v>42856</v>
      </c>
      <c r="B70" s="1710">
        <v>8.5</v>
      </c>
      <c r="C70" s="2781">
        <v>8.42</v>
      </c>
      <c r="D70" s="2488">
        <v>9.76</v>
      </c>
      <c r="E70" s="2491">
        <f t="shared" si="3"/>
        <v>8.0000000000000071E-2</v>
      </c>
      <c r="F70" s="1155"/>
      <c r="G70" s="1831"/>
      <c r="H70" s="1831"/>
      <c r="I70" s="1831"/>
      <c r="J70" s="1831"/>
      <c r="K70" s="1831"/>
      <c r="L70" s="1831"/>
      <c r="M70" s="1831"/>
      <c r="N70" s="1831"/>
      <c r="O70" s="1831"/>
      <c r="P70" s="1831"/>
      <c r="Q70" s="1831"/>
      <c r="R70" s="1831"/>
      <c r="S70" s="1697"/>
    </row>
    <row r="71" spans="1:19" ht="21.95" hidden="1" customHeight="1">
      <c r="A71" s="2629">
        <v>42887</v>
      </c>
      <c r="B71" s="2491">
        <v>8.5</v>
      </c>
      <c r="C71" s="2782">
        <v>8.27</v>
      </c>
      <c r="D71" s="2630">
        <v>2.94</v>
      </c>
      <c r="E71" s="2491">
        <f t="shared" si="3"/>
        <v>0.23000000000000043</v>
      </c>
      <c r="F71" s="1155"/>
      <c r="G71" s="1831"/>
      <c r="H71" s="1831"/>
      <c r="I71" s="1831"/>
      <c r="J71" s="1831"/>
      <c r="K71" s="1831"/>
      <c r="L71" s="1831"/>
      <c r="M71" s="1831"/>
      <c r="N71" s="1831"/>
      <c r="O71" s="1831"/>
      <c r="P71" s="1831"/>
      <c r="Q71" s="1831"/>
      <c r="R71" s="1831"/>
      <c r="S71" s="1697"/>
    </row>
    <row r="72" spans="1:19" ht="21.95" hidden="1" customHeight="1">
      <c r="A72" s="1702">
        <v>42917</v>
      </c>
      <c r="B72" s="1708">
        <v>8.5</v>
      </c>
      <c r="C72" s="2783">
        <v>8.3316806109651704</v>
      </c>
      <c r="D72" s="2492">
        <v>8.3869616983112039</v>
      </c>
      <c r="E72" s="1708">
        <f t="shared" si="3"/>
        <v>0.16831938903482957</v>
      </c>
      <c r="F72" s="1155"/>
      <c r="G72" s="1831"/>
      <c r="H72" s="1831"/>
      <c r="I72" s="1831"/>
      <c r="J72" s="1831"/>
      <c r="K72" s="1831"/>
      <c r="L72" s="1831"/>
      <c r="M72" s="1831"/>
      <c r="N72" s="1831"/>
      <c r="O72" s="1831"/>
      <c r="P72" s="1831"/>
      <c r="Q72" s="1831"/>
      <c r="R72" s="1831"/>
      <c r="S72" s="1697"/>
    </row>
    <row r="73" spans="1:19" ht="21.95" hidden="1" customHeight="1">
      <c r="A73" s="2487">
        <v>42948</v>
      </c>
      <c r="B73" s="1709">
        <v>8.5</v>
      </c>
      <c r="C73" s="2784">
        <v>8.4684198199706504</v>
      </c>
      <c r="D73" s="1706">
        <v>9.6183837007888506</v>
      </c>
      <c r="E73" s="1709">
        <f t="shared" si="3"/>
        <v>3.1580180029349592E-2</v>
      </c>
      <c r="F73" s="1155"/>
      <c r="G73" s="1831"/>
      <c r="H73" s="1831"/>
      <c r="I73" s="1831"/>
      <c r="J73" s="1831"/>
      <c r="K73" s="1831"/>
      <c r="L73" s="1831"/>
      <c r="M73" s="1831"/>
      <c r="N73" s="1831"/>
      <c r="O73" s="1831"/>
      <c r="P73" s="1831"/>
      <c r="Q73" s="1831"/>
      <c r="R73" s="1831"/>
      <c r="S73" s="1697"/>
    </row>
    <row r="74" spans="1:19" ht="21.95" customHeight="1">
      <c r="A74" s="1702">
        <v>42979</v>
      </c>
      <c r="B74" s="1709">
        <v>8.5</v>
      </c>
      <c r="C74" s="2784">
        <v>8.24</v>
      </c>
      <c r="D74" s="1706">
        <v>6.3</v>
      </c>
      <c r="E74" s="1709">
        <f t="shared" si="3"/>
        <v>0.25999999999999979</v>
      </c>
      <c r="F74" s="1155"/>
      <c r="G74" s="1831"/>
      <c r="H74" s="1831"/>
      <c r="I74" s="1831"/>
      <c r="J74" s="1831"/>
      <c r="K74" s="1831"/>
      <c r="L74" s="1831"/>
      <c r="M74" s="1831"/>
      <c r="N74" s="1831"/>
      <c r="O74" s="1831"/>
      <c r="P74" s="1831"/>
      <c r="Q74" s="1831"/>
      <c r="R74" s="1831"/>
      <c r="S74" s="1697"/>
    </row>
    <row r="75" spans="1:19" ht="21.95" customHeight="1">
      <c r="A75" s="1703">
        <v>43009</v>
      </c>
      <c r="B75" s="1709">
        <v>8.5</v>
      </c>
      <c r="C75" s="2784">
        <v>8.1999999999999993</v>
      </c>
      <c r="D75" s="1706">
        <v>10.76</v>
      </c>
      <c r="E75" s="1709">
        <f t="shared" si="3"/>
        <v>0.30000000000000071</v>
      </c>
      <c r="F75" s="1155"/>
      <c r="G75" s="1831"/>
      <c r="H75" s="1831"/>
      <c r="I75" s="1831"/>
      <c r="J75" s="1831"/>
      <c r="K75" s="1831"/>
      <c r="L75" s="1831"/>
      <c r="M75" s="1831"/>
      <c r="N75" s="1831"/>
      <c r="O75" s="1831"/>
      <c r="P75" s="1831"/>
      <c r="Q75" s="1831"/>
      <c r="R75" s="1831"/>
      <c r="S75" s="1697"/>
    </row>
    <row r="76" spans="1:19" ht="21.95" customHeight="1">
      <c r="A76" s="1703">
        <v>43040</v>
      </c>
      <c r="B76" s="1709">
        <v>8.5</v>
      </c>
      <c r="C76" s="2784">
        <v>7.7</v>
      </c>
      <c r="D76" s="1706">
        <v>4.34</v>
      </c>
      <c r="E76" s="1709">
        <f t="shared" si="3"/>
        <v>0.79999999999999982</v>
      </c>
      <c r="F76" s="1155"/>
      <c r="G76" s="1831"/>
      <c r="H76" s="1831"/>
      <c r="I76" s="1831"/>
      <c r="J76" s="1831"/>
      <c r="K76" s="1831"/>
      <c r="L76" s="1831"/>
      <c r="M76" s="1831"/>
      <c r="N76" s="1831"/>
      <c r="O76" s="1831"/>
      <c r="P76" s="1831"/>
      <c r="Q76" s="1831"/>
      <c r="R76" s="1831"/>
      <c r="S76" s="1697"/>
    </row>
    <row r="77" spans="1:19" ht="21.95" customHeight="1">
      <c r="A77" s="1703">
        <v>43070</v>
      </c>
      <c r="B77" s="1709">
        <v>8.5</v>
      </c>
      <c r="C77" s="2784">
        <v>7.96</v>
      </c>
      <c r="D77" s="1706">
        <v>19.04</v>
      </c>
      <c r="E77" s="1709">
        <f t="shared" si="3"/>
        <v>0.54</v>
      </c>
      <c r="F77" s="1155"/>
      <c r="G77" s="1831"/>
      <c r="H77" s="1831"/>
      <c r="I77" s="1831"/>
      <c r="J77" s="1831"/>
      <c r="K77" s="1831"/>
      <c r="L77" s="1831"/>
      <c r="M77" s="1831"/>
      <c r="N77" s="1831"/>
      <c r="O77" s="1831"/>
      <c r="P77" s="1831"/>
      <c r="Q77" s="1831"/>
      <c r="R77" s="1831"/>
      <c r="S77" s="1697"/>
    </row>
    <row r="78" spans="1:19" ht="21.95" customHeight="1">
      <c r="A78" s="1703">
        <v>43101</v>
      </c>
      <c r="B78" s="1709">
        <v>8.16</v>
      </c>
      <c r="C78" s="2784">
        <v>8.23</v>
      </c>
      <c r="D78" s="1706">
        <v>13.23</v>
      </c>
      <c r="E78" s="1709">
        <f t="shared" si="3"/>
        <v>-7.0000000000000284E-2</v>
      </c>
      <c r="F78" s="1155"/>
      <c r="G78" s="1831"/>
      <c r="H78" s="1831"/>
      <c r="I78" s="1831"/>
      <c r="J78" s="1831"/>
      <c r="K78" s="1831"/>
      <c r="L78" s="1831"/>
      <c r="M78" s="1831"/>
      <c r="N78" s="1831"/>
      <c r="O78" s="1831"/>
      <c r="P78" s="1831"/>
      <c r="Q78" s="1831"/>
      <c r="R78" s="1831"/>
      <c r="S78" s="1697"/>
    </row>
    <row r="79" spans="1:19" ht="21.95" customHeight="1">
      <c r="A79" s="1703">
        <v>43132</v>
      </c>
      <c r="B79" s="1709">
        <v>8.16</v>
      </c>
      <c r="C79" s="2784">
        <v>8.0500000000000007</v>
      </c>
      <c r="D79" s="1706">
        <v>-2.23</v>
      </c>
      <c r="E79" s="1709">
        <f t="shared" ref="E79:E83" si="4">B79-C79</f>
        <v>0.10999999999999943</v>
      </c>
      <c r="F79" s="1155"/>
      <c r="G79" s="1831"/>
      <c r="H79" s="1831"/>
      <c r="I79" s="1831"/>
      <c r="J79" s="1831"/>
      <c r="K79" s="1831"/>
      <c r="L79" s="1831"/>
      <c r="M79" s="1831"/>
      <c r="N79" s="1831"/>
      <c r="O79" s="1831"/>
      <c r="P79" s="1831"/>
      <c r="Q79" s="1831"/>
      <c r="R79" s="1831"/>
      <c r="S79" s="1697"/>
    </row>
    <row r="80" spans="1:19" ht="21.95" customHeight="1">
      <c r="A80" s="1703">
        <v>43160</v>
      </c>
      <c r="B80" s="1709">
        <v>8.16</v>
      </c>
      <c r="C80" s="2784">
        <v>8.17</v>
      </c>
      <c r="D80" s="1706">
        <v>15.61</v>
      </c>
      <c r="E80" s="1709">
        <f t="shared" si="4"/>
        <v>-9.9999999999997868E-3</v>
      </c>
      <c r="F80" s="1155"/>
      <c r="G80" s="1831"/>
      <c r="H80" s="1831"/>
      <c r="I80" s="1831"/>
      <c r="J80" s="1831"/>
      <c r="K80" s="1831"/>
      <c r="L80" s="1831"/>
      <c r="M80" s="1831"/>
      <c r="N80" s="1831"/>
      <c r="O80" s="1831"/>
      <c r="P80" s="1831"/>
      <c r="Q80" s="1831"/>
      <c r="R80" s="1831"/>
      <c r="S80" s="1697"/>
    </row>
    <row r="81" spans="1:26" ht="21.95" customHeight="1">
      <c r="A81" s="1703">
        <v>43191</v>
      </c>
      <c r="B81" s="1709">
        <v>8.16</v>
      </c>
      <c r="C81" s="2784">
        <v>8.5</v>
      </c>
      <c r="D81" s="1706">
        <v>3.34</v>
      </c>
      <c r="E81" s="1709">
        <f t="shared" si="4"/>
        <v>-0.33999999999999986</v>
      </c>
      <c r="F81" s="1155"/>
      <c r="G81" s="1831"/>
      <c r="H81" s="1831"/>
      <c r="I81" s="1831"/>
      <c r="J81" s="1831"/>
      <c r="K81" s="1831"/>
      <c r="L81" s="1831"/>
      <c r="M81" s="1831"/>
      <c r="N81" s="1831"/>
      <c r="O81" s="1831"/>
      <c r="P81" s="1831"/>
      <c r="Q81" s="1831"/>
      <c r="R81" s="1831"/>
      <c r="S81" s="1697"/>
    </row>
    <row r="82" spans="1:26" ht="21.95" customHeight="1">
      <c r="A82" s="1703">
        <v>43221</v>
      </c>
      <c r="B82" s="1709">
        <v>8.16</v>
      </c>
      <c r="C82" s="2784">
        <f>+I121*100</f>
        <v>7.8157026342116591</v>
      </c>
      <c r="D82" s="1706">
        <v>2.68</v>
      </c>
      <c r="E82" s="1709">
        <f t="shared" si="4"/>
        <v>0.34429736578834103</v>
      </c>
      <c r="F82" s="1155"/>
      <c r="G82" s="1831"/>
      <c r="H82" s="1831"/>
      <c r="I82" s="1831"/>
      <c r="J82" s="1831"/>
      <c r="K82" s="1831"/>
      <c r="L82" s="1831"/>
      <c r="M82" s="1831"/>
      <c r="N82" s="1831"/>
      <c r="O82" s="1831"/>
      <c r="P82" s="1831"/>
      <c r="Q82" s="1831"/>
      <c r="R82" s="1831"/>
      <c r="S82" s="1697"/>
    </row>
    <row r="83" spans="1:26" s="2714" customFormat="1" ht="21.95" customHeight="1">
      <c r="A83" s="1703">
        <v>43252</v>
      </c>
      <c r="B83" s="1709">
        <v>8.16</v>
      </c>
      <c r="C83" s="2784">
        <f>+J121*100</f>
        <v>7.722381057537973</v>
      </c>
      <c r="D83" s="1706">
        <f>0.0161380147738851*100</f>
        <v>1.6138014773885101</v>
      </c>
      <c r="E83" s="1709">
        <f t="shared" si="4"/>
        <v>0.43761894246202715</v>
      </c>
      <c r="F83" s="1155"/>
      <c r="G83" s="2715"/>
      <c r="H83" s="2715"/>
      <c r="I83" s="2715"/>
      <c r="J83" s="2715"/>
      <c r="K83" s="2715"/>
      <c r="L83" s="2715"/>
      <c r="M83" s="2715"/>
      <c r="N83" s="2715"/>
      <c r="O83" s="2715"/>
      <c r="P83" s="2715"/>
      <c r="Q83" s="2715"/>
      <c r="R83" s="2715"/>
      <c r="S83" s="1697"/>
    </row>
    <row r="84" spans="1:26" ht="21.95" customHeight="1">
      <c r="A84" s="1703">
        <v>43282</v>
      </c>
      <c r="B84" s="1709">
        <v>8.16</v>
      </c>
      <c r="C84" s="2784">
        <f>+K121*100</f>
        <v>8.1740675114585795</v>
      </c>
      <c r="D84" s="1706">
        <v>13.88</v>
      </c>
      <c r="E84" s="1709">
        <f>B84-C84</f>
        <v>-1.4067511458579318E-2</v>
      </c>
      <c r="F84" s="1155"/>
      <c r="G84" s="1831"/>
      <c r="H84" s="1831"/>
      <c r="I84" s="1831"/>
      <c r="J84" s="1831"/>
      <c r="K84" s="1831"/>
      <c r="L84" s="1831"/>
      <c r="M84" s="1831"/>
      <c r="N84" s="1831"/>
      <c r="O84" s="1831"/>
      <c r="P84" s="1831"/>
      <c r="Q84" s="1831"/>
      <c r="R84" s="1831"/>
      <c r="S84" s="1697"/>
    </row>
    <row r="85" spans="1:26" s="2714" customFormat="1" ht="21.95" customHeight="1">
      <c r="A85" s="1703">
        <v>43313</v>
      </c>
      <c r="B85" s="1710">
        <v>8.16</v>
      </c>
      <c r="C85" s="2781">
        <v>7.9809560299158697</v>
      </c>
      <c r="D85" s="2488">
        <v>7.0584232236343443</v>
      </c>
      <c r="E85" s="1709">
        <f t="shared" ref="E85:E86" si="5">B85-C85</f>
        <v>0.17904397008413042</v>
      </c>
      <c r="F85" s="1155"/>
      <c r="G85" s="2715"/>
      <c r="H85" s="2715"/>
      <c r="I85" s="2715"/>
      <c r="J85" s="2715"/>
      <c r="K85" s="2715"/>
      <c r="L85" s="2715"/>
      <c r="M85" s="2715"/>
      <c r="N85" s="2715"/>
      <c r="O85" s="2715"/>
      <c r="P85" s="2715"/>
      <c r="Q85" s="2715"/>
      <c r="R85" s="2715"/>
      <c r="S85" s="1697"/>
    </row>
    <row r="86" spans="1:26" s="2714" customFormat="1" ht="21.95" customHeight="1" thickBot="1">
      <c r="A86" s="1704">
        <v>43344</v>
      </c>
      <c r="B86" s="2786">
        <v>8.16</v>
      </c>
      <c r="C86" s="2785">
        <f>0.0798871027774388*100</f>
        <v>7.9887102777438797</v>
      </c>
      <c r="D86" s="1707">
        <v>6.5116212480410525</v>
      </c>
      <c r="E86" s="2786">
        <f t="shared" si="5"/>
        <v>0.17128972225612049</v>
      </c>
      <c r="F86" s="1155"/>
      <c r="G86" s="2715"/>
      <c r="H86" s="2715"/>
      <c r="I86" s="2715"/>
      <c r="J86" s="2715"/>
      <c r="K86" s="2715"/>
      <c r="L86" s="2715"/>
      <c r="M86" s="2715"/>
      <c r="N86" s="2715"/>
      <c r="O86" s="2715"/>
      <c r="P86" s="2715"/>
      <c r="Q86" s="2715"/>
      <c r="R86" s="2715"/>
      <c r="S86" s="1697"/>
    </row>
    <row r="87" spans="1:26" ht="21.95" customHeight="1">
      <c r="A87" s="2493"/>
      <c r="B87" s="2489"/>
      <c r="C87" s="2490"/>
      <c r="D87" s="2490"/>
      <c r="E87" s="2489"/>
      <c r="F87" s="1155"/>
      <c r="G87" s="1831"/>
      <c r="H87" s="1831"/>
      <c r="I87" s="1831"/>
      <c r="J87" s="1831"/>
      <c r="K87" s="1831"/>
      <c r="L87" s="1831"/>
      <c r="M87" s="1831"/>
      <c r="N87" s="1831"/>
      <c r="O87" s="1831"/>
      <c r="P87" s="1831"/>
      <c r="Q87" s="1831"/>
      <c r="R87" s="1831"/>
      <c r="S87" s="1697"/>
    </row>
    <row r="88" spans="1:26" ht="10.5" customHeight="1" thickBot="1">
      <c r="A88" s="1698"/>
      <c r="B88" s="154"/>
      <c r="C88" s="154"/>
      <c r="D88" s="154"/>
      <c r="E88" s="154"/>
      <c r="F88" s="154"/>
      <c r="G88" s="154"/>
      <c r="H88" s="154"/>
      <c r="I88" s="154"/>
      <c r="J88" s="154"/>
      <c r="K88" s="154"/>
      <c r="L88" s="154"/>
      <c r="M88" s="154"/>
      <c r="N88" s="154"/>
      <c r="O88" s="154"/>
      <c r="P88" s="154"/>
      <c r="Q88" s="154"/>
      <c r="R88" s="154"/>
      <c r="S88" s="1699"/>
    </row>
    <row r="89" spans="1:26" ht="36" customHeight="1" thickBot="1">
      <c r="A89" s="3100" t="s">
        <v>71</v>
      </c>
      <c r="B89" s="3101"/>
      <c r="C89" s="3101"/>
      <c r="D89" s="3102"/>
      <c r="E89" s="3103" t="s">
        <v>693</v>
      </c>
      <c r="F89" s="3104"/>
      <c r="G89" s="3104"/>
      <c r="H89" s="3104"/>
      <c r="I89" s="3104"/>
      <c r="J89" s="3104"/>
      <c r="K89" s="3104"/>
      <c r="L89" s="3104"/>
      <c r="M89" s="3104"/>
      <c r="N89" s="3104"/>
      <c r="O89" s="3104"/>
      <c r="P89" s="3104"/>
      <c r="Q89" s="3105"/>
      <c r="R89" s="3105"/>
      <c r="S89" s="3106"/>
    </row>
    <row r="90" spans="1:26" ht="21.75" customHeight="1">
      <c r="A90" s="3107" t="s">
        <v>72</v>
      </c>
      <c r="B90" s="3108"/>
      <c r="C90" s="3108"/>
      <c r="D90" s="3109"/>
      <c r="E90" s="3110" t="s">
        <v>113</v>
      </c>
      <c r="F90" s="3111"/>
      <c r="G90" s="3111"/>
      <c r="H90" s="3111"/>
      <c r="I90" s="3111"/>
      <c r="J90" s="3111"/>
      <c r="K90" s="3111"/>
      <c r="L90" s="3111"/>
      <c r="M90" s="3111"/>
      <c r="N90" s="3111"/>
      <c r="O90" s="3111"/>
      <c r="P90" s="3111"/>
      <c r="Q90" s="3112"/>
      <c r="R90" s="3112"/>
      <c r="S90" s="3113"/>
    </row>
    <row r="91" spans="1:26" ht="35.25" customHeight="1" thickBot="1">
      <c r="A91" s="3114" t="s">
        <v>21</v>
      </c>
      <c r="B91" s="3115"/>
      <c r="C91" s="3115"/>
      <c r="D91" s="3116"/>
      <c r="E91" s="3117"/>
      <c r="F91" s="3117"/>
      <c r="G91" s="3117"/>
      <c r="H91" s="3117"/>
      <c r="I91" s="3117"/>
      <c r="J91" s="3117"/>
      <c r="K91" s="3117"/>
      <c r="L91" s="3117"/>
      <c r="M91" s="3117"/>
      <c r="N91" s="3117"/>
      <c r="O91" s="3117"/>
      <c r="P91" s="3117"/>
      <c r="Q91" s="3117"/>
      <c r="R91" s="3117"/>
      <c r="S91" s="3118"/>
      <c r="V91" s="8"/>
      <c r="W91" s="8"/>
      <c r="X91" s="8"/>
      <c r="Y91" s="8"/>
      <c r="Z91" s="8"/>
    </row>
    <row r="92" spans="1:26" s="8" customFormat="1" ht="6.75" customHeight="1" thickBot="1">
      <c r="A92" s="1696"/>
      <c r="B92" s="153"/>
      <c r="C92" s="153"/>
      <c r="D92" s="153"/>
      <c r="E92" s="153"/>
      <c r="F92" s="153"/>
      <c r="G92" s="153"/>
      <c r="H92" s="153"/>
      <c r="I92" s="153"/>
      <c r="J92" s="153"/>
      <c r="K92" s="153"/>
      <c r="L92" s="153"/>
      <c r="M92" s="153"/>
      <c r="N92" s="153"/>
      <c r="O92" s="153"/>
      <c r="P92" s="153"/>
      <c r="Q92" s="153"/>
      <c r="R92" s="153"/>
      <c r="S92" s="1721"/>
    </row>
    <row r="93" spans="1:26" s="8" customFormat="1" ht="18" customHeight="1" thickBot="1">
      <c r="A93" s="3119" t="s">
        <v>114</v>
      </c>
      <c r="B93" s="3120"/>
      <c r="C93" s="3120"/>
      <c r="D93" s="3121"/>
      <c r="E93" s="3122" t="s">
        <v>115</v>
      </c>
      <c r="F93" s="3123"/>
      <c r="G93" s="3123"/>
      <c r="H93" s="3123"/>
      <c r="I93" s="3123"/>
      <c r="J93" s="3123"/>
      <c r="K93" s="3123"/>
      <c r="L93" s="3123"/>
      <c r="M93" s="3123"/>
      <c r="N93" s="3123"/>
      <c r="O93" s="3123"/>
      <c r="P93" s="3123"/>
      <c r="Q93" s="3123"/>
      <c r="R93" s="3123"/>
      <c r="S93" s="3124"/>
    </row>
    <row r="94" spans="1:26" s="8" customFormat="1" ht="6.75" customHeight="1" thickBot="1">
      <c r="A94" s="1722"/>
      <c r="B94" s="823"/>
      <c r="C94" s="823"/>
      <c r="D94" s="823"/>
      <c r="E94" s="824"/>
      <c r="F94" s="823"/>
      <c r="G94" s="823"/>
      <c r="H94" s="823"/>
      <c r="I94" s="823"/>
      <c r="J94" s="823"/>
      <c r="K94" s="823"/>
      <c r="L94" s="823"/>
      <c r="M94" s="823"/>
      <c r="N94" s="823"/>
      <c r="O94" s="823"/>
      <c r="P94" s="823"/>
      <c r="Q94" s="823"/>
      <c r="R94" s="823"/>
      <c r="S94" s="1723"/>
    </row>
    <row r="95" spans="1:26" s="8" customFormat="1" ht="14.25" hidden="1" customHeight="1" thickTop="1" thickBot="1">
      <c r="A95" s="3125" t="s">
        <v>388</v>
      </c>
      <c r="B95" s="3126"/>
      <c r="C95" s="3126"/>
      <c r="D95" s="3127"/>
      <c r="E95" s="821" t="s">
        <v>32</v>
      </c>
      <c r="F95" s="821" t="s">
        <v>33</v>
      </c>
      <c r="G95" s="821" t="s">
        <v>34</v>
      </c>
      <c r="H95" s="821" t="s">
        <v>35</v>
      </c>
      <c r="I95" s="821" t="s">
        <v>36</v>
      </c>
      <c r="J95" s="821" t="s">
        <v>37</v>
      </c>
      <c r="K95" s="821" t="s">
        <v>38</v>
      </c>
      <c r="L95" s="821" t="s">
        <v>39</v>
      </c>
      <c r="M95" s="821" t="s">
        <v>40</v>
      </c>
      <c r="N95" s="821" t="s">
        <v>41</v>
      </c>
      <c r="O95" s="821" t="s">
        <v>42</v>
      </c>
      <c r="P95" s="822" t="s">
        <v>43</v>
      </c>
      <c r="Q95" s="649"/>
      <c r="R95" s="649"/>
      <c r="S95" s="1697"/>
    </row>
    <row r="96" spans="1:26" s="8" customFormat="1" ht="14.25" hidden="1" customHeight="1">
      <c r="A96" s="3098" t="s">
        <v>182</v>
      </c>
      <c r="B96" s="3099"/>
      <c r="C96" s="3099"/>
      <c r="D96" s="3099"/>
      <c r="E96" s="331">
        <v>46162.532000000007</v>
      </c>
      <c r="F96" s="331">
        <v>46410.539027000006</v>
      </c>
      <c r="G96" s="331">
        <v>46782.330506999991</v>
      </c>
      <c r="H96" s="331">
        <v>47323.730457999991</v>
      </c>
      <c r="I96" s="331">
        <v>47897.878417999993</v>
      </c>
      <c r="J96" s="331">
        <v>48764.660367999997</v>
      </c>
      <c r="K96" s="331">
        <v>49560.533098</v>
      </c>
      <c r="L96" s="331">
        <v>50025.016415999999</v>
      </c>
      <c r="M96" s="331">
        <v>50545.118738646481</v>
      </c>
      <c r="N96" s="331">
        <v>51132.205318646484</v>
      </c>
      <c r="O96" s="331">
        <v>51778.607955345702</v>
      </c>
      <c r="P96" s="354">
        <v>52512.374095482424</v>
      </c>
      <c r="Q96" s="639"/>
      <c r="R96" s="639"/>
      <c r="S96" s="1697"/>
    </row>
    <row r="97" spans="1:47" s="8" customFormat="1" ht="14.25" hidden="1" customHeight="1">
      <c r="A97" s="3093" t="s">
        <v>183</v>
      </c>
      <c r="B97" s="3094"/>
      <c r="C97" s="3094"/>
      <c r="D97" s="3094"/>
      <c r="E97" s="44">
        <v>42517.07</v>
      </c>
      <c r="F97" s="44">
        <v>42666.612999999998</v>
      </c>
      <c r="G97" s="44">
        <v>43049.573999999993</v>
      </c>
      <c r="H97" s="44">
        <v>43627.505999999994</v>
      </c>
      <c r="I97" s="44">
        <v>44112.048999999985</v>
      </c>
      <c r="J97" s="44">
        <v>44728.368999999992</v>
      </c>
      <c r="K97" s="44">
        <v>45455.120999999999</v>
      </c>
      <c r="L97" s="44">
        <v>45935.833999999988</v>
      </c>
      <c r="M97" s="44">
        <v>46519.293999999994</v>
      </c>
      <c r="N97" s="44">
        <v>47088.298000000003</v>
      </c>
      <c r="O97" s="44">
        <v>47395.717000000004</v>
      </c>
      <c r="P97" s="355">
        <v>47976.592999999993</v>
      </c>
      <c r="Q97" s="639"/>
      <c r="R97" s="639"/>
      <c r="S97" s="1697"/>
      <c r="W97" s="8">
        <v>4747880</v>
      </c>
      <c r="AU97" s="106"/>
    </row>
    <row r="98" spans="1:47" s="8" customFormat="1" ht="14.25" hidden="1" customHeight="1">
      <c r="A98" s="3093" t="s">
        <v>184</v>
      </c>
      <c r="B98" s="3094"/>
      <c r="C98" s="3094"/>
      <c r="D98" s="3094"/>
      <c r="E98" s="44">
        <v>0</v>
      </c>
      <c r="F98" s="44">
        <v>0</v>
      </c>
      <c r="G98" s="44">
        <v>0</v>
      </c>
      <c r="H98" s="44">
        <v>0</v>
      </c>
      <c r="I98" s="44">
        <v>0</v>
      </c>
      <c r="J98" s="44">
        <v>0</v>
      </c>
      <c r="K98" s="44">
        <v>0</v>
      </c>
      <c r="L98" s="44">
        <v>0</v>
      </c>
      <c r="M98" s="44">
        <v>0</v>
      </c>
      <c r="N98" s="44">
        <v>0</v>
      </c>
      <c r="O98" s="44">
        <v>0</v>
      </c>
      <c r="P98" s="355">
        <v>0</v>
      </c>
      <c r="Q98" s="639"/>
      <c r="R98" s="639"/>
      <c r="S98" s="1697"/>
      <c r="W98" s="8">
        <v>43396.255312500522</v>
      </c>
    </row>
    <row r="99" spans="1:47" s="8" customFormat="1" ht="14.25" hidden="1" customHeight="1">
      <c r="A99" s="3093" t="s">
        <v>185</v>
      </c>
      <c r="B99" s="3094"/>
      <c r="C99" s="3094"/>
      <c r="D99" s="3094"/>
      <c r="E99" s="219">
        <v>3645.4620000000009</v>
      </c>
      <c r="F99" s="219">
        <v>3743.9260270000018</v>
      </c>
      <c r="G99" s="219">
        <v>3732.7565070000019</v>
      </c>
      <c r="H99" s="44">
        <v>3696.2244580000011</v>
      </c>
      <c r="I99" s="44">
        <v>3785.8294180000012</v>
      </c>
      <c r="J99" s="44">
        <v>4036.2913680000015</v>
      </c>
      <c r="K99" s="44">
        <v>4105.4120980000016</v>
      </c>
      <c r="L99" s="44">
        <v>4089.182416000001</v>
      </c>
      <c r="M99" s="44">
        <v>4025.8247386464859</v>
      </c>
      <c r="N99" s="44">
        <v>4043.9073186464852</v>
      </c>
      <c r="O99" s="44">
        <v>4382.8909553457042</v>
      </c>
      <c r="P99" s="355">
        <v>4535.7810954824236</v>
      </c>
      <c r="Q99" s="639"/>
      <c r="R99" s="639"/>
      <c r="S99" s="1697"/>
      <c r="W99" s="8">
        <v>4791276.2553125005</v>
      </c>
    </row>
    <row r="100" spans="1:47" s="8" customFormat="1" ht="14.25" hidden="1" customHeight="1" thickBot="1">
      <c r="A100" s="3076" t="s">
        <v>116</v>
      </c>
      <c r="B100" s="3077"/>
      <c r="C100" s="3077"/>
      <c r="D100" s="3077"/>
      <c r="E100" s="1156">
        <f>E99/E96</f>
        <v>7.8970148344549226E-2</v>
      </c>
      <c r="F100" s="1156">
        <f>F99/F96</f>
        <v>8.0669738070094782E-2</v>
      </c>
      <c r="G100" s="1156">
        <f t="shared" ref="G100:L100" si="6">G99/G96</f>
        <v>7.9789879352878179E-2</v>
      </c>
      <c r="H100" s="1156">
        <f t="shared" si="6"/>
        <v>7.8105094890615512E-2</v>
      </c>
      <c r="I100" s="1156">
        <f t="shared" si="6"/>
        <v>7.9039605574206154E-2</v>
      </c>
      <c r="J100" s="1156">
        <f t="shared" si="6"/>
        <v>8.2770829070485399E-2</v>
      </c>
      <c r="K100" s="1156">
        <f t="shared" si="6"/>
        <v>8.2836318364091083E-2</v>
      </c>
      <c r="L100" s="1156">
        <f t="shared" si="6"/>
        <v>8.1742750107166723E-2</v>
      </c>
      <c r="M100" s="1156">
        <f>M99/M96</f>
        <v>7.9648140890969277E-2</v>
      </c>
      <c r="N100" s="1156">
        <f>N99/N96</f>
        <v>7.908728546804504E-2</v>
      </c>
      <c r="O100" s="1156">
        <f>O99/O96</f>
        <v>8.4646751398290684E-2</v>
      </c>
      <c r="P100" s="1157">
        <f>P99/P96</f>
        <v>8.6375471945623408E-2</v>
      </c>
      <c r="Q100" s="1158"/>
      <c r="R100" s="1158"/>
      <c r="S100" s="1697"/>
    </row>
    <row r="101" spans="1:47" s="8" customFormat="1" ht="10.5" customHeight="1" thickTop="1" thickBot="1">
      <c r="A101" s="1724"/>
      <c r="B101" s="1725"/>
      <c r="C101" s="1725"/>
      <c r="D101" s="1725"/>
      <c r="E101" s="1725"/>
      <c r="F101" s="1725"/>
      <c r="G101" s="1725"/>
      <c r="H101" s="1725"/>
      <c r="I101" s="1725"/>
      <c r="J101" s="1725"/>
      <c r="K101" s="1725"/>
      <c r="L101" s="1725"/>
      <c r="M101" s="1725"/>
      <c r="N101" s="1725"/>
      <c r="O101" s="1725"/>
      <c r="P101" s="1725"/>
      <c r="S101" s="1697"/>
      <c r="V101" s="639"/>
    </row>
    <row r="102" spans="1:47" s="8" customFormat="1" ht="13.5" customHeight="1" thickBot="1">
      <c r="A102" s="3095" t="s">
        <v>516</v>
      </c>
      <c r="B102" s="3096"/>
      <c r="C102" s="3096"/>
      <c r="D102" s="3097"/>
      <c r="E102" s="353" t="s">
        <v>32</v>
      </c>
      <c r="F102" s="353" t="s">
        <v>33</v>
      </c>
      <c r="G102" s="353" t="s">
        <v>34</v>
      </c>
      <c r="H102" s="353" t="s">
        <v>35</v>
      </c>
      <c r="I102" s="353" t="s">
        <v>36</v>
      </c>
      <c r="J102" s="353" t="s">
        <v>37</v>
      </c>
      <c r="K102" s="353" t="s">
        <v>38</v>
      </c>
      <c r="L102" s="353" t="s">
        <v>39</v>
      </c>
      <c r="M102" s="353" t="s">
        <v>40</v>
      </c>
      <c r="N102" s="353" t="s">
        <v>41</v>
      </c>
      <c r="O102" s="353" t="s">
        <v>42</v>
      </c>
      <c r="P102" s="1700" t="s">
        <v>43</v>
      </c>
      <c r="Q102" s="649"/>
      <c r="R102" s="649"/>
      <c r="S102" s="1697"/>
      <c r="T102" s="639"/>
      <c r="U102" s="639"/>
    </row>
    <row r="103" spans="1:47" s="8" customFormat="1" ht="13.5" customHeight="1">
      <c r="A103" s="3098" t="s">
        <v>182</v>
      </c>
      <c r="B103" s="3099"/>
      <c r="C103" s="3099"/>
      <c r="D103" s="3099"/>
      <c r="E103" s="331">
        <v>53182.309495482426</v>
      </c>
      <c r="F103" s="331">
        <v>53645.728636068365</v>
      </c>
      <c r="G103" s="331">
        <v>54078.931659099617</v>
      </c>
      <c r="H103" s="331">
        <v>54151.342463412111</v>
      </c>
      <c r="I103" s="331">
        <v>54030.534981279299</v>
      </c>
      <c r="J103" s="331">
        <v>53526.58330731836</v>
      </c>
      <c r="K103" s="331">
        <v>52963.323370830069</v>
      </c>
      <c r="L103" s="331">
        <v>52822.293604232415</v>
      </c>
      <c r="M103" s="331">
        <v>52779.798658414053</v>
      </c>
      <c r="N103" s="331">
        <v>52547.594954414053</v>
      </c>
      <c r="O103" s="331">
        <v>52163.522386593744</v>
      </c>
      <c r="P103" s="354">
        <v>51755.979257765619</v>
      </c>
      <c r="Q103" s="639"/>
      <c r="R103" s="639"/>
      <c r="S103" s="1697"/>
    </row>
    <row r="104" spans="1:47" s="8" customFormat="1" ht="13.5" customHeight="1">
      <c r="A104" s="3093" t="s">
        <v>183</v>
      </c>
      <c r="B104" s="3094"/>
      <c r="C104" s="3094"/>
      <c r="D104" s="3094"/>
      <c r="E104" s="44">
        <v>48261.45047199999</v>
      </c>
      <c r="F104" s="44">
        <v>48954.837471999992</v>
      </c>
      <c r="G104" s="44">
        <v>49153.355471999996</v>
      </c>
      <c r="H104" s="44">
        <v>49493.840471999989</v>
      </c>
      <c r="I104" s="44">
        <v>49159.033472000003</v>
      </c>
      <c r="J104" s="44">
        <v>48934.760471999994</v>
      </c>
      <c r="K104" s="44">
        <v>48391.325471999997</v>
      </c>
      <c r="L104" s="44">
        <v>48130.117471999998</v>
      </c>
      <c r="M104" s="44">
        <v>47895.079471999998</v>
      </c>
      <c r="N104" s="44">
        <v>47636.710471999999</v>
      </c>
      <c r="O104" s="44">
        <v>47508.845472000001</v>
      </c>
      <c r="P104" s="355">
        <v>47007.995999999999</v>
      </c>
      <c r="Q104" s="639"/>
      <c r="R104" s="639"/>
      <c r="S104" s="1726"/>
    </row>
    <row r="105" spans="1:47" s="8" customFormat="1" ht="13.5" customHeight="1">
      <c r="A105" s="3093" t="s">
        <v>184</v>
      </c>
      <c r="B105" s="3094"/>
      <c r="C105" s="3094"/>
      <c r="D105" s="3094"/>
      <c r="E105" s="44">
        <v>0</v>
      </c>
      <c r="F105" s="44">
        <v>0</v>
      </c>
      <c r="G105" s="44">
        <v>0</v>
      </c>
      <c r="H105" s="44">
        <v>0</v>
      </c>
      <c r="I105" s="44">
        <v>0</v>
      </c>
      <c r="J105" s="44">
        <v>0</v>
      </c>
      <c r="K105" s="44">
        <v>0</v>
      </c>
      <c r="L105" s="44">
        <v>0</v>
      </c>
      <c r="M105" s="44">
        <v>0</v>
      </c>
      <c r="N105" s="44">
        <v>0</v>
      </c>
      <c r="O105" s="44">
        <v>0</v>
      </c>
      <c r="P105" s="355">
        <v>0</v>
      </c>
      <c r="Q105" s="639"/>
      <c r="R105" s="639"/>
      <c r="S105" s="1697"/>
    </row>
    <row r="106" spans="1:47" s="8" customFormat="1" ht="13.5" customHeight="1">
      <c r="A106" s="3093" t="s">
        <v>185</v>
      </c>
      <c r="B106" s="3094"/>
      <c r="C106" s="3094"/>
      <c r="D106" s="3094"/>
      <c r="E106" s="219">
        <v>4903.8094954824228</v>
      </c>
      <c r="F106" s="219">
        <v>4673.8416360683632</v>
      </c>
      <c r="G106" s="219">
        <v>4908.5266590996125</v>
      </c>
      <c r="H106" s="44">
        <v>4640.4524634121135</v>
      </c>
      <c r="I106" s="44">
        <v>4854.4519812792969</v>
      </c>
      <c r="J106" s="44">
        <v>4574.7733073183581</v>
      </c>
      <c r="K106" s="44">
        <v>4554.9483708300768</v>
      </c>
      <c r="L106" s="44">
        <v>4675.1266042324205</v>
      </c>
      <c r="M106" s="44">
        <v>4867.66965841406</v>
      </c>
      <c r="N106" s="44">
        <v>4893.8349544140601</v>
      </c>
      <c r="O106" s="44">
        <v>4637.6273865937483</v>
      </c>
      <c r="P106" s="355">
        <v>4747.9832577656216</v>
      </c>
      <c r="Q106" s="639"/>
      <c r="R106" s="639"/>
      <c r="S106" s="1697"/>
    </row>
    <row r="107" spans="1:47" s="8" customFormat="1" ht="12.75" thickBot="1">
      <c r="A107" s="3076" t="s">
        <v>116</v>
      </c>
      <c r="B107" s="3077"/>
      <c r="C107" s="3077"/>
      <c r="D107" s="3077"/>
      <c r="E107" s="1156">
        <f>E106/E103</f>
        <v>9.2207531827834158E-2</v>
      </c>
      <c r="F107" s="1156">
        <f>F106/F103</f>
        <v>8.7124208299520334E-2</v>
      </c>
      <c r="G107" s="1156">
        <f>G106/G103</f>
        <v>9.0765969454459014E-2</v>
      </c>
      <c r="H107" s="1156">
        <f>H106/H103</f>
        <v>8.569413522014678E-2</v>
      </c>
      <c r="I107" s="1156">
        <f t="shared" ref="I107:P107" si="7">I106/I103</f>
        <v>8.9846454101579515E-2</v>
      </c>
      <c r="J107" s="1156">
        <f t="shared" si="7"/>
        <v>8.5467314083035775E-2</v>
      </c>
      <c r="K107" s="1156">
        <f t="shared" si="7"/>
        <v>8.600193645209861E-2</v>
      </c>
      <c r="L107" s="1156">
        <f t="shared" si="7"/>
        <v>8.8506694526756094E-2</v>
      </c>
      <c r="M107" s="1156">
        <f t="shared" si="7"/>
        <v>9.2225999002329764E-2</v>
      </c>
      <c r="N107" s="1156">
        <f t="shared" si="7"/>
        <v>9.3131473641363538E-2</v>
      </c>
      <c r="O107" s="1156">
        <f t="shared" si="7"/>
        <v>8.8905564164617049E-2</v>
      </c>
      <c r="P107" s="1157">
        <f t="shared" si="7"/>
        <v>9.1737869244416237E-2</v>
      </c>
      <c r="Q107" s="1158"/>
      <c r="R107" s="1158"/>
      <c r="S107" s="1697"/>
    </row>
    <row r="108" spans="1:47" s="8" customFormat="1" ht="12.75" thickBot="1">
      <c r="A108" s="1727"/>
      <c r="B108" s="792"/>
      <c r="C108" s="792"/>
      <c r="D108" s="792"/>
      <c r="E108" s="1158"/>
      <c r="F108" s="1158"/>
      <c r="G108" s="1158"/>
      <c r="H108" s="1158"/>
      <c r="I108" s="1158"/>
      <c r="J108" s="1158"/>
      <c r="K108" s="1158"/>
      <c r="L108" s="1158"/>
      <c r="M108" s="1158"/>
      <c r="N108" s="1158"/>
      <c r="O108" s="1158"/>
      <c r="P108" s="1158"/>
      <c r="Q108" s="1158"/>
      <c r="R108" s="1158"/>
      <c r="S108" s="1697"/>
    </row>
    <row r="109" spans="1:47" s="8" customFormat="1" ht="12.75" thickBot="1">
      <c r="A109" s="3087" t="s">
        <v>637</v>
      </c>
      <c r="B109" s="3088"/>
      <c r="C109" s="3088"/>
      <c r="D109" s="3089"/>
      <c r="E109" s="353" t="s">
        <v>32</v>
      </c>
      <c r="F109" s="353" t="s">
        <v>33</v>
      </c>
      <c r="G109" s="353" t="s">
        <v>34</v>
      </c>
      <c r="H109" s="353" t="s">
        <v>35</v>
      </c>
      <c r="I109" s="353" t="s">
        <v>36</v>
      </c>
      <c r="J109" s="353" t="s">
        <v>37</v>
      </c>
      <c r="K109" s="353" t="s">
        <v>38</v>
      </c>
      <c r="L109" s="353" t="s">
        <v>39</v>
      </c>
      <c r="M109" s="353" t="s">
        <v>40</v>
      </c>
      <c r="N109" s="353" t="s">
        <v>41</v>
      </c>
      <c r="O109" s="353" t="s">
        <v>42</v>
      </c>
      <c r="P109" s="1700" t="s">
        <v>43</v>
      </c>
      <c r="Q109" s="1158"/>
      <c r="R109" s="1158"/>
      <c r="S109" s="1697"/>
    </row>
    <row r="110" spans="1:47" s="8" customFormat="1" ht="12">
      <c r="A110" s="3090" t="s">
        <v>182</v>
      </c>
      <c r="B110" s="3091"/>
      <c r="C110" s="3091"/>
      <c r="D110" s="3092"/>
      <c r="E110" s="331">
        <v>51753.826682933592</v>
      </c>
      <c r="F110" s="331">
        <v>52032.663512453684</v>
      </c>
      <c r="G110" s="331">
        <v>52212.653835208148</v>
      </c>
      <c r="H110" s="331">
        <v>52825.107688085947</v>
      </c>
      <c r="I110" s="331">
        <v>53400.653930468754</v>
      </c>
      <c r="J110" s="331">
        <v>53606.940463585946</v>
      </c>
      <c r="K110" s="331">
        <v>53815.181110324724</v>
      </c>
      <c r="L110" s="331">
        <v>54034.076547922385</v>
      </c>
      <c r="M110" s="331">
        <v>54045.033007094258</v>
      </c>
      <c r="N110" s="331">
        <v>54110.090678406763</v>
      </c>
      <c r="O110" s="331">
        <v>54147.431405527852</v>
      </c>
      <c r="P110" s="354">
        <v>54009.767517519249</v>
      </c>
      <c r="Q110" s="1158"/>
      <c r="R110" s="1158"/>
      <c r="S110" s="1697"/>
    </row>
    <row r="111" spans="1:47" s="8" customFormat="1" ht="12">
      <c r="A111" s="3073" t="s">
        <v>183</v>
      </c>
      <c r="B111" s="3074"/>
      <c r="C111" s="3074"/>
      <c r="D111" s="3075"/>
      <c r="E111" s="44">
        <v>47217.722000000002</v>
      </c>
      <c r="F111" s="44">
        <v>47704.838999999993</v>
      </c>
      <c r="G111" s="44">
        <v>47708.144999999997</v>
      </c>
      <c r="H111" s="44">
        <v>48347.68</v>
      </c>
      <c r="I111" s="44">
        <v>48902.527100000007</v>
      </c>
      <c r="J111" s="44">
        <v>49171.392100000005</v>
      </c>
      <c r="K111" s="44">
        <v>49331.472100000006</v>
      </c>
      <c r="L111" s="44">
        <v>49458.244100000004</v>
      </c>
      <c r="M111" s="44">
        <v>49592.649100000002</v>
      </c>
      <c r="N111" s="44">
        <v>49674.708099999996</v>
      </c>
      <c r="O111" s="44">
        <v>49977.921099999985</v>
      </c>
      <c r="P111" s="355">
        <v>49708.199099999991</v>
      </c>
      <c r="Q111" s="1158"/>
      <c r="R111" s="1158"/>
      <c r="S111" s="1697"/>
    </row>
    <row r="112" spans="1:47" s="8" customFormat="1" ht="12">
      <c r="A112" s="3073" t="s">
        <v>184</v>
      </c>
      <c r="B112" s="3074"/>
      <c r="C112" s="3074"/>
      <c r="D112" s="3075"/>
      <c r="E112" s="44">
        <v>0</v>
      </c>
      <c r="F112" s="44">
        <v>0</v>
      </c>
      <c r="G112" s="44">
        <v>0</v>
      </c>
      <c r="H112" s="44">
        <v>0</v>
      </c>
      <c r="I112" s="44">
        <v>0</v>
      </c>
      <c r="J112" s="44">
        <v>0</v>
      </c>
      <c r="K112" s="44">
        <v>0</v>
      </c>
      <c r="L112" s="44">
        <v>0</v>
      </c>
      <c r="M112" s="44">
        <v>0</v>
      </c>
      <c r="N112" s="44">
        <v>0</v>
      </c>
      <c r="O112" s="44">
        <v>0</v>
      </c>
      <c r="P112" s="355">
        <v>0</v>
      </c>
      <c r="Q112" s="1158"/>
      <c r="R112" s="1158"/>
      <c r="S112" s="1697"/>
    </row>
    <row r="113" spans="1:26" s="8" customFormat="1" ht="12">
      <c r="A113" s="3073" t="s">
        <v>185</v>
      </c>
      <c r="B113" s="3074"/>
      <c r="C113" s="3074"/>
      <c r="D113" s="3075"/>
      <c r="E113" s="219">
        <v>4536.1046829335919</v>
      </c>
      <c r="F113" s="219">
        <v>4327.8245124536825</v>
      </c>
      <c r="G113" s="219">
        <v>4504.5088352081439</v>
      </c>
      <c r="H113" s="44">
        <v>4477.4276880859352</v>
      </c>
      <c r="I113" s="44">
        <v>4498.1268304687474</v>
      </c>
      <c r="J113" s="44">
        <f>+J110-J111</f>
        <v>4435.5483635859418</v>
      </c>
      <c r="K113" s="44">
        <v>4483.7090103247174</v>
      </c>
      <c r="L113" s="44">
        <v>4575.8324479223738</v>
      </c>
      <c r="M113" s="44">
        <v>4452.3839070942495</v>
      </c>
      <c r="N113" s="44">
        <v>4435.3825784067503</v>
      </c>
      <c r="O113" s="44">
        <v>4169.5103055278432</v>
      </c>
      <c r="P113" s="355">
        <v>4301.5684175192491</v>
      </c>
      <c r="Q113" s="1305"/>
      <c r="R113" s="1158"/>
      <c r="S113" s="1697"/>
    </row>
    <row r="114" spans="1:26" s="8" customFormat="1" ht="12.75" thickBot="1">
      <c r="A114" s="3076" t="s">
        <v>116</v>
      </c>
      <c r="B114" s="3077"/>
      <c r="C114" s="3077"/>
      <c r="D114" s="3077"/>
      <c r="E114" s="1156">
        <f>E113/E110</f>
        <v>8.7647715611905153E-2</v>
      </c>
      <c r="F114" s="1156">
        <f t="shared" ref="F114:P114" si="8">F113/F110</f>
        <v>8.3175148460694223E-2</v>
      </c>
      <c r="G114" s="1156">
        <f t="shared" si="8"/>
        <v>8.627235936761854E-2</v>
      </c>
      <c r="H114" s="1156">
        <f t="shared" si="8"/>
        <v>8.4759461628050106E-2</v>
      </c>
      <c r="I114" s="1156">
        <f t="shared" si="8"/>
        <v>8.4233553325500685E-2</v>
      </c>
      <c r="J114" s="1156">
        <f t="shared" si="8"/>
        <v>8.274205401815303E-2</v>
      </c>
      <c r="K114" s="1156">
        <f t="shared" si="8"/>
        <v>8.3316806109651725E-2</v>
      </c>
      <c r="L114" s="1156">
        <f t="shared" si="8"/>
        <v>8.4684198199706531E-2</v>
      </c>
      <c r="M114" s="1156">
        <f t="shared" si="8"/>
        <v>8.2382851103260574E-2</v>
      </c>
      <c r="N114" s="1156">
        <f t="shared" si="8"/>
        <v>8.1969601654664007E-2</v>
      </c>
      <c r="O114" s="1156">
        <f t="shared" si="8"/>
        <v>7.7002919571586226E-2</v>
      </c>
      <c r="P114" s="1157">
        <f t="shared" si="8"/>
        <v>7.964426834690487E-2</v>
      </c>
      <c r="S114" s="1697"/>
    </row>
    <row r="115" spans="1:26" s="8" customFormat="1" ht="12.75" thickBot="1">
      <c r="A115" s="1727"/>
      <c r="B115" s="792"/>
      <c r="C115" s="792"/>
      <c r="D115" s="792"/>
      <c r="E115" s="1158"/>
      <c r="F115" s="1158"/>
      <c r="G115" s="1158"/>
      <c r="H115" s="1158"/>
      <c r="I115" s="1158"/>
      <c r="J115" s="1158"/>
      <c r="K115" s="1158"/>
      <c r="L115" s="1158"/>
      <c r="M115" s="1158"/>
      <c r="N115" s="1158"/>
      <c r="O115" s="1158"/>
      <c r="P115" s="1158"/>
      <c r="S115" s="1697"/>
    </row>
    <row r="116" spans="1:26" s="8" customFormat="1" ht="12.75" thickBot="1">
      <c r="A116" s="3087" t="s">
        <v>780</v>
      </c>
      <c r="B116" s="3088"/>
      <c r="C116" s="3088"/>
      <c r="D116" s="3089"/>
      <c r="E116" s="353" t="s">
        <v>32</v>
      </c>
      <c r="F116" s="353" t="s">
        <v>33</v>
      </c>
      <c r="G116" s="353" t="s">
        <v>34</v>
      </c>
      <c r="H116" s="353" t="s">
        <v>35</v>
      </c>
      <c r="I116" s="353" t="s">
        <v>36</v>
      </c>
      <c r="J116" s="353" t="s">
        <v>37</v>
      </c>
      <c r="K116" s="353" t="s">
        <v>38</v>
      </c>
      <c r="L116" s="353" t="s">
        <v>39</v>
      </c>
      <c r="M116" s="353" t="s">
        <v>40</v>
      </c>
      <c r="N116" s="353" t="s">
        <v>41</v>
      </c>
      <c r="O116" s="353" t="s">
        <v>42</v>
      </c>
      <c r="P116" s="1700" t="s">
        <v>43</v>
      </c>
      <c r="S116" s="1697"/>
    </row>
    <row r="117" spans="1:26" s="8" customFormat="1" ht="12">
      <c r="A117" s="3090" t="s">
        <v>182</v>
      </c>
      <c r="B117" s="3091"/>
      <c r="C117" s="3091"/>
      <c r="D117" s="3092"/>
      <c r="E117" s="331">
        <v>53942.250999999997</v>
      </c>
      <c r="F117" s="44">
        <v>53790.23</v>
      </c>
      <c r="G117" s="331">
        <v>53945.152611459533</v>
      </c>
      <c r="H117" s="331">
        <v>53653.440197269236</v>
      </c>
      <c r="I117" s="331">
        <v>53714.097102156236</v>
      </c>
      <c r="J117" s="331">
        <v>53599.753186999995</v>
      </c>
      <c r="K117" s="331">
        <v>53847.659</v>
      </c>
      <c r="L117" s="331">
        <v>54044.560619612508</v>
      </c>
      <c r="M117" s="331">
        <v>54299.375816612497</v>
      </c>
      <c r="N117" s="331"/>
      <c r="O117" s="331"/>
      <c r="P117" s="354"/>
      <c r="S117" s="1697"/>
    </row>
    <row r="118" spans="1:26" s="8" customFormat="1" ht="12">
      <c r="A118" s="3073" t="s">
        <v>183</v>
      </c>
      <c r="B118" s="3074"/>
      <c r="C118" s="3074"/>
      <c r="D118" s="3075"/>
      <c r="E118" s="44">
        <v>49504.093999999997</v>
      </c>
      <c r="F118" s="44">
        <v>49460.635999999999</v>
      </c>
      <c r="G118" s="44">
        <v>49536.723099999996</v>
      </c>
      <c r="H118" s="44">
        <v>49090.729099999997</v>
      </c>
      <c r="I118" s="44">
        <v>49515.963000000003</v>
      </c>
      <c r="J118" s="44">
        <v>49460.576000000001</v>
      </c>
      <c r="K118" s="44">
        <v>49446.114999999998</v>
      </c>
      <c r="L118" s="44">
        <v>49731.287999999993</v>
      </c>
      <c r="M118" s="44">
        <v>49961.555999999997</v>
      </c>
      <c r="N118" s="44"/>
      <c r="O118" s="44"/>
      <c r="P118" s="355"/>
      <c r="S118" s="1697"/>
    </row>
    <row r="119" spans="1:26" s="8" customFormat="1" ht="12">
      <c r="A119" s="3073" t="s">
        <v>184</v>
      </c>
      <c r="B119" s="3074"/>
      <c r="C119" s="3074"/>
      <c r="D119" s="3075"/>
      <c r="E119" s="1777">
        <v>0</v>
      </c>
      <c r="F119" s="1777">
        <v>0</v>
      </c>
      <c r="G119" s="1777">
        <v>0</v>
      </c>
      <c r="H119" s="1777">
        <v>0</v>
      </c>
      <c r="I119" s="1777">
        <v>0</v>
      </c>
      <c r="J119" s="1777">
        <v>0</v>
      </c>
      <c r="K119" s="1777">
        <v>0</v>
      </c>
      <c r="L119" s="1777">
        <v>0</v>
      </c>
      <c r="M119" s="1777">
        <v>0</v>
      </c>
      <c r="N119" s="1777">
        <v>0</v>
      </c>
      <c r="O119" s="1777">
        <v>0</v>
      </c>
      <c r="P119" s="1778">
        <v>0</v>
      </c>
      <c r="S119" s="1697"/>
    </row>
    <row r="120" spans="1:26" s="8" customFormat="1" ht="12">
      <c r="A120" s="3073" t="s">
        <v>185</v>
      </c>
      <c r="B120" s="3074"/>
      <c r="C120" s="3074"/>
      <c r="D120" s="3075"/>
      <c r="E120" s="219">
        <f t="shared" ref="E120:J120" si="9">+E117-E118</f>
        <v>4438.1569999999992</v>
      </c>
      <c r="F120" s="219">
        <f t="shared" si="9"/>
        <v>4329.5940000000046</v>
      </c>
      <c r="G120" s="219">
        <f t="shared" si="9"/>
        <v>4408.429511459537</v>
      </c>
      <c r="H120" s="219">
        <f t="shared" si="9"/>
        <v>4562.711097269239</v>
      </c>
      <c r="I120" s="219">
        <f t="shared" si="9"/>
        <v>4198.134102156233</v>
      </c>
      <c r="J120" s="219">
        <f t="shared" si="9"/>
        <v>4139.1771869999939</v>
      </c>
      <c r="K120" s="219">
        <f t="shared" ref="K120:L120" si="10">+K117-K118</f>
        <v>4401.5440000000017</v>
      </c>
      <c r="L120" s="219">
        <f t="shared" si="10"/>
        <v>4313.272619612515</v>
      </c>
      <c r="M120" s="219">
        <f t="shared" ref="M120" si="11">+M117-M118</f>
        <v>4337.8198166125003</v>
      </c>
      <c r="N120" s="219"/>
      <c r="O120" s="219"/>
      <c r="P120" s="1701"/>
      <c r="S120" s="1697"/>
    </row>
    <row r="121" spans="1:26" s="8" customFormat="1" ht="12.75" thickBot="1">
      <c r="A121" s="3076" t="s">
        <v>116</v>
      </c>
      <c r="B121" s="3077"/>
      <c r="C121" s="3077"/>
      <c r="D121" s="3077"/>
      <c r="E121" s="1156">
        <f t="shared" ref="E121:J121" si="12">+E120/E117</f>
        <v>8.2276080766447796E-2</v>
      </c>
      <c r="F121" s="1156">
        <f t="shared" si="12"/>
        <v>8.0490341833451995E-2</v>
      </c>
      <c r="G121" s="1156">
        <f t="shared" si="12"/>
        <v>8.1720586522598088E-2</v>
      </c>
      <c r="H121" s="1156">
        <f t="shared" si="12"/>
        <v>8.5040420157465768E-2</v>
      </c>
      <c r="I121" s="1156">
        <f t="shared" si="12"/>
        <v>7.815702634211659E-2</v>
      </c>
      <c r="J121" s="1156">
        <f t="shared" si="12"/>
        <v>7.7223810575379734E-2</v>
      </c>
      <c r="K121" s="1156">
        <f t="shared" ref="K121:L121" si="13">+K120/K117</f>
        <v>8.1740675114585798E-2</v>
      </c>
      <c r="L121" s="1156">
        <f t="shared" si="13"/>
        <v>7.9809560299158935E-2</v>
      </c>
      <c r="M121" s="1156">
        <f t="shared" ref="M121" si="14">+M120/M117</f>
        <v>7.9887102777438851E-2</v>
      </c>
      <c r="N121" s="1156"/>
      <c r="O121" s="1156"/>
      <c r="P121" s="1157"/>
      <c r="S121" s="1697"/>
    </row>
    <row r="122" spans="1:26" s="8" customFormat="1" ht="12">
      <c r="A122" s="1727"/>
      <c r="B122" s="792"/>
      <c r="C122" s="792"/>
      <c r="D122" s="792"/>
      <c r="E122" s="1158"/>
      <c r="F122" s="1158"/>
      <c r="G122" s="1158"/>
      <c r="H122" s="1158"/>
      <c r="I122" s="1158"/>
      <c r="J122" s="1158"/>
      <c r="K122" s="1158"/>
      <c r="L122" s="1158"/>
      <c r="M122" s="1158"/>
      <c r="N122" s="1158"/>
      <c r="O122" s="1158"/>
      <c r="P122" s="1158"/>
      <c r="S122" s="1697"/>
    </row>
    <row r="123" spans="1:26" s="8" customFormat="1" ht="13.5" customHeight="1" thickBot="1">
      <c r="A123" s="1728"/>
      <c r="F123" s="11"/>
      <c r="S123" s="1697"/>
      <c r="V123" s="6"/>
      <c r="W123" s="6"/>
      <c r="X123" s="6"/>
      <c r="Y123" s="6"/>
      <c r="Z123" s="6"/>
    </row>
    <row r="124" spans="1:26" ht="14.25" customHeight="1" thickBot="1">
      <c r="A124" s="3078" t="s">
        <v>117</v>
      </c>
      <c r="B124" s="3079"/>
      <c r="C124" s="3079"/>
      <c r="D124" s="3079"/>
      <c r="E124" s="3079"/>
      <c r="F124" s="3079"/>
      <c r="G124" s="3079"/>
      <c r="H124" s="3079"/>
      <c r="I124" s="3079"/>
      <c r="J124" s="3079"/>
      <c r="K124" s="3079"/>
      <c r="L124" s="3079"/>
      <c r="M124" s="3079"/>
      <c r="N124" s="3079"/>
      <c r="O124" s="3079"/>
      <c r="P124" s="3079"/>
      <c r="Q124" s="3079"/>
      <c r="R124" s="3079"/>
      <c r="S124" s="3080"/>
    </row>
    <row r="125" spans="1:26" ht="14.25" customHeight="1">
      <c r="A125" s="3081" t="s">
        <v>137</v>
      </c>
      <c r="B125" s="3082"/>
      <c r="C125" s="3082"/>
      <c r="D125" s="3082"/>
      <c r="E125" s="3083"/>
      <c r="F125" s="992">
        <v>2003</v>
      </c>
      <c r="G125" s="992">
        <v>2004</v>
      </c>
      <c r="H125" s="993">
        <v>2005</v>
      </c>
      <c r="I125" s="993">
        <v>2006</v>
      </c>
      <c r="J125" s="993">
        <v>2007</v>
      </c>
      <c r="K125" s="992">
        <v>2008</v>
      </c>
      <c r="L125" s="992">
        <v>2009</v>
      </c>
      <c r="M125" s="992">
        <v>2010</v>
      </c>
      <c r="N125" s="992">
        <v>2011</v>
      </c>
      <c r="O125" s="992">
        <v>2012</v>
      </c>
      <c r="P125" s="992">
        <v>2013</v>
      </c>
      <c r="Q125" s="994">
        <v>2014</v>
      </c>
      <c r="R125" s="992">
        <v>2015</v>
      </c>
      <c r="S125" s="994"/>
    </row>
    <row r="126" spans="1:26" ht="15.75" customHeight="1">
      <c r="A126" s="898" t="s">
        <v>511</v>
      </c>
      <c r="B126" s="845"/>
      <c r="C126" s="845"/>
      <c r="D126" s="845"/>
      <c r="E126" s="845"/>
      <c r="F126" s="846">
        <v>19196.148000000001</v>
      </c>
      <c r="G126" s="846">
        <v>20863.117299999994</v>
      </c>
      <c r="H126" s="846">
        <v>22783.455929999996</v>
      </c>
      <c r="I126" s="846">
        <v>25516.038900000003</v>
      </c>
      <c r="J126" s="846">
        <v>25153.508999999998</v>
      </c>
      <c r="K126" s="846">
        <v>29443.944000000003</v>
      </c>
      <c r="L126" s="846">
        <v>31488.285600000003</v>
      </c>
      <c r="M126" s="846">
        <v>32689.964000000004</v>
      </c>
      <c r="N126" s="846">
        <v>35226.281000000003</v>
      </c>
      <c r="O126" s="846">
        <v>39132.77900000001</v>
      </c>
      <c r="P126" s="846">
        <v>39520.561310000005</v>
      </c>
      <c r="Q126" s="846">
        <v>45766.828143701357</v>
      </c>
      <c r="R126" s="846">
        <v>52512.374095482424</v>
      </c>
      <c r="S126" s="899"/>
    </row>
    <row r="127" spans="1:26" ht="15.75" customHeight="1">
      <c r="A127" s="3067" t="s">
        <v>512</v>
      </c>
      <c r="B127" s="3068"/>
      <c r="C127" s="3068"/>
      <c r="D127" s="3069"/>
      <c r="E127" s="845"/>
      <c r="F127" s="846">
        <v>1995.4240000000002</v>
      </c>
      <c r="G127" s="846">
        <v>1688.0553</v>
      </c>
      <c r="H127" s="846">
        <v>1786.77493</v>
      </c>
      <c r="I127" s="846">
        <v>2464.3368999999998</v>
      </c>
      <c r="J127" s="846">
        <v>1352.876</v>
      </c>
      <c r="K127" s="846">
        <v>2087.77</v>
      </c>
      <c r="L127" s="846">
        <v>2479.0875999999998</v>
      </c>
      <c r="M127" s="846">
        <v>2983.0509999999999</v>
      </c>
      <c r="N127" s="846">
        <v>2710.5960700000005</v>
      </c>
      <c r="O127" s="846">
        <v>2930.9828230000003</v>
      </c>
      <c r="P127" s="846">
        <v>2988.6653099999999</v>
      </c>
      <c r="Q127" s="846">
        <v>3677.7261437013658</v>
      </c>
      <c r="R127" s="846">
        <v>4535.7810954824236</v>
      </c>
      <c r="S127" s="899"/>
      <c r="V127" s="8"/>
      <c r="W127" s="8"/>
      <c r="X127" s="8"/>
      <c r="Y127" s="8"/>
      <c r="Z127" s="8"/>
    </row>
    <row r="128" spans="1:26" s="8" customFormat="1" ht="16.5" customHeight="1">
      <c r="A128" s="3084" t="s">
        <v>118</v>
      </c>
      <c r="B128" s="3085"/>
      <c r="C128" s="3085"/>
      <c r="D128" s="3085"/>
      <c r="E128" s="3085"/>
      <c r="F128" s="3085"/>
      <c r="G128" s="3085"/>
      <c r="H128" s="3085"/>
      <c r="I128" s="3085"/>
      <c r="J128" s="3085"/>
      <c r="K128" s="3085"/>
      <c r="L128" s="3085"/>
      <c r="M128" s="3085"/>
      <c r="N128" s="3085"/>
      <c r="O128" s="3085"/>
      <c r="P128" s="3085"/>
      <c r="Q128" s="3085"/>
      <c r="R128" s="3085"/>
      <c r="S128" s="3086"/>
      <c r="V128" s="6"/>
      <c r="W128" s="6"/>
      <c r="X128" s="6"/>
      <c r="Y128" s="6"/>
      <c r="Z128" s="6"/>
    </row>
    <row r="129" spans="1:19" ht="15.75" customHeight="1">
      <c r="A129" s="3067" t="s">
        <v>513</v>
      </c>
      <c r="B129" s="3068"/>
      <c r="C129" s="3068"/>
      <c r="D129" s="3069"/>
      <c r="E129" s="845"/>
      <c r="F129" s="847">
        <f>F130+F131</f>
        <v>0.10394918813920376</v>
      </c>
      <c r="G129" s="847">
        <f t="shared" ref="G129:N129" si="15">G130+G131</f>
        <v>8.0910981601009374E-2</v>
      </c>
      <c r="H129" s="847">
        <f t="shared" si="15"/>
        <v>7.8424227452134398E-2</v>
      </c>
      <c r="I129" s="847">
        <f t="shared" si="15"/>
        <v>9.6579916250245243E-2</v>
      </c>
      <c r="J129" s="847">
        <f t="shared" si="15"/>
        <v>5.3784782075534679E-2</v>
      </c>
      <c r="K129" s="847">
        <f t="shared" si="15"/>
        <v>7.0906601371066316E-2</v>
      </c>
      <c r="L129" s="847">
        <f t="shared" si="15"/>
        <v>7.8730472388753997E-2</v>
      </c>
      <c r="M129" s="847">
        <f t="shared" si="15"/>
        <v>9.1252807742461861E-2</v>
      </c>
      <c r="N129" s="847">
        <f t="shared" si="15"/>
        <v>7.6948119218148509E-2</v>
      </c>
      <c r="O129" s="847">
        <f>O130+O131</f>
        <v>7.4898407368410996E-2</v>
      </c>
      <c r="P129" s="847">
        <f>P130+P131</f>
        <v>7.5623048128209885E-2</v>
      </c>
      <c r="Q129" s="847">
        <f>Q130+Q131</f>
        <v>8.0357898785422197E-2</v>
      </c>
      <c r="R129" s="847">
        <v>8.6377671255796762E-2</v>
      </c>
      <c r="S129" s="900"/>
    </row>
    <row r="130" spans="1:19" ht="15.75" customHeight="1">
      <c r="A130" s="3067" t="s">
        <v>514</v>
      </c>
      <c r="B130" s="3068"/>
      <c r="C130" s="3068"/>
      <c r="D130" s="3069"/>
      <c r="E130" s="845"/>
      <c r="F130" s="847">
        <v>6.37520374400114E-2</v>
      </c>
      <c r="G130" s="847">
        <v>6.690843045780126E-2</v>
      </c>
      <c r="H130" s="847">
        <v>5.4873504785276896E-2</v>
      </c>
      <c r="I130" s="847">
        <v>6.5007031244179517E-2</v>
      </c>
      <c r="J130" s="847">
        <v>4.7260103908365242E-2</v>
      </c>
      <c r="K130" s="847">
        <v>4.8211983116120578E-2</v>
      </c>
      <c r="L130" s="847">
        <v>5.3536721319626245E-2</v>
      </c>
      <c r="M130" s="847">
        <v>6.205190938723578E-2</v>
      </c>
      <c r="N130" s="847">
        <v>5.2324721221635624E-2</v>
      </c>
      <c r="O130" s="847">
        <v>5.0930917096381E-2</v>
      </c>
      <c r="P130" s="847">
        <v>5.1423672782849955E-2</v>
      </c>
      <c r="Q130" s="1159">
        <v>5.4643370999695511E-2</v>
      </c>
      <c r="R130" s="1159">
        <v>6.985949645377125E-2</v>
      </c>
      <c r="S130" s="1160"/>
    </row>
    <row r="131" spans="1:19" ht="15.75" customHeight="1" thickBot="1">
      <c r="A131" s="3070" t="s">
        <v>515</v>
      </c>
      <c r="B131" s="3071"/>
      <c r="C131" s="3071"/>
      <c r="D131" s="3072"/>
      <c r="E131" s="901"/>
      <c r="F131" s="902">
        <v>4.0197150699192358E-2</v>
      </c>
      <c r="G131" s="902">
        <v>1.4002551143208119E-2</v>
      </c>
      <c r="H131" s="902">
        <v>2.355072266685751E-2</v>
      </c>
      <c r="I131" s="902">
        <v>3.1572885006065726E-2</v>
      </c>
      <c r="J131" s="902">
        <v>6.5246781671694397E-3</v>
      </c>
      <c r="K131" s="902">
        <v>2.2694618254945734E-2</v>
      </c>
      <c r="L131" s="902">
        <v>2.5193751069127756E-2</v>
      </c>
      <c r="M131" s="902">
        <v>2.9200898355226081E-2</v>
      </c>
      <c r="N131" s="902">
        <v>2.4623397996512888E-2</v>
      </c>
      <c r="O131" s="902">
        <v>2.3967490272029997E-2</v>
      </c>
      <c r="P131" s="902">
        <v>2.4199375345359937E-2</v>
      </c>
      <c r="Q131" s="1161">
        <v>2.5714527785726689E-2</v>
      </c>
      <c r="R131" s="1161">
        <v>1.6518174802025519E-2</v>
      </c>
      <c r="S131" s="1162"/>
    </row>
    <row r="132" spans="1:19" ht="11.25" customHeight="1">
      <c r="A132" s="8"/>
      <c r="B132" s="8"/>
      <c r="C132" s="8"/>
      <c r="D132" s="8"/>
      <c r="E132" s="8"/>
      <c r="F132" s="11"/>
      <c r="G132" s="8"/>
      <c r="H132" s="8"/>
      <c r="I132" s="8"/>
      <c r="K132" s="8"/>
      <c r="L132" s="8"/>
      <c r="M132" s="8"/>
      <c r="N132" s="8"/>
      <c r="O132" s="8"/>
      <c r="P132" s="8"/>
      <c r="Q132" s="8"/>
      <c r="R132" s="8"/>
      <c r="S132" s="8"/>
    </row>
    <row r="133" spans="1:19" ht="11.25" customHeight="1">
      <c r="A133" s="47"/>
      <c r="B133" s="8"/>
      <c r="C133" s="8"/>
      <c r="D133" s="8"/>
      <c r="E133" s="8"/>
      <c r="F133" s="11"/>
      <c r="G133" s="8"/>
      <c r="H133" s="8"/>
      <c r="I133" s="8"/>
    </row>
    <row r="134" spans="1:19" ht="11.25" customHeight="1">
      <c r="A134" s="47"/>
      <c r="B134" s="8"/>
      <c r="C134" s="8"/>
      <c r="D134" s="8"/>
      <c r="E134" s="8"/>
      <c r="F134" s="11"/>
      <c r="G134" s="8"/>
      <c r="H134" s="8"/>
      <c r="I134" s="8"/>
      <c r="Q134" s="980"/>
      <c r="R134" s="980"/>
      <c r="S134" s="980"/>
    </row>
    <row r="135" spans="1:19" ht="11.25" customHeight="1">
      <c r="A135" s="47"/>
      <c r="B135" s="8"/>
      <c r="C135" s="8"/>
      <c r="D135" s="8"/>
      <c r="E135" s="8"/>
      <c r="F135" s="11"/>
      <c r="G135" s="8"/>
      <c r="H135" s="8"/>
      <c r="I135" s="8"/>
    </row>
    <row r="136" spans="1:19" ht="11.25" customHeight="1">
      <c r="A136" s="47"/>
      <c r="B136" s="8"/>
      <c r="C136" s="8"/>
      <c r="D136" s="8"/>
      <c r="E136" s="8"/>
      <c r="F136" s="11"/>
      <c r="G136" s="8"/>
      <c r="H136" s="8"/>
      <c r="I136" s="8"/>
    </row>
    <row r="137" spans="1:19" ht="11.25" customHeight="1">
      <c r="A137" s="47"/>
      <c r="B137" s="8"/>
      <c r="C137" s="8"/>
      <c r="D137" s="8"/>
      <c r="E137" s="8"/>
      <c r="F137" s="11"/>
      <c r="G137" s="8"/>
      <c r="H137" s="8"/>
      <c r="I137" s="8"/>
    </row>
    <row r="138" spans="1:19" ht="11.25" customHeight="1">
      <c r="A138" s="47"/>
      <c r="B138" s="8"/>
      <c r="C138" s="8"/>
      <c r="D138" s="8"/>
      <c r="E138" s="8"/>
      <c r="F138" s="11"/>
      <c r="G138" s="8"/>
      <c r="H138" s="8"/>
      <c r="I138" s="8"/>
    </row>
    <row r="139" spans="1:19" ht="11.25" customHeight="1">
      <c r="A139" s="47"/>
      <c r="B139" s="8"/>
      <c r="C139" s="8"/>
      <c r="D139" s="8"/>
      <c r="E139" s="8"/>
      <c r="F139" s="8"/>
      <c r="G139" s="8"/>
      <c r="H139" s="8"/>
      <c r="I139" s="8"/>
    </row>
    <row r="140" spans="1:19" ht="11.25" customHeight="1">
      <c r="A140" s="47"/>
      <c r="B140" s="8"/>
      <c r="C140" s="8"/>
      <c r="D140" s="8"/>
      <c r="E140" s="8"/>
      <c r="F140" s="8"/>
      <c r="G140" s="8"/>
      <c r="H140" s="8"/>
      <c r="I140" s="8"/>
    </row>
    <row r="141" spans="1:19" ht="11.25" customHeight="1">
      <c r="A141" s="47"/>
      <c r="B141" s="8"/>
      <c r="C141" s="8"/>
      <c r="D141" s="8"/>
      <c r="E141" s="8"/>
      <c r="F141" s="8"/>
      <c r="G141" s="8"/>
      <c r="H141" s="8"/>
      <c r="I141" s="8"/>
    </row>
    <row r="142" spans="1:19" ht="11.25" customHeight="1">
      <c r="A142" s="47"/>
      <c r="B142" s="8"/>
      <c r="C142" s="8"/>
      <c r="D142" s="8"/>
      <c r="E142" s="8"/>
      <c r="F142" s="8"/>
      <c r="G142" s="8"/>
      <c r="H142" s="8"/>
      <c r="I142" s="8"/>
    </row>
    <row r="143" spans="1:19" ht="11.25" customHeight="1">
      <c r="A143" s="47"/>
      <c r="B143" s="8"/>
      <c r="C143" s="8"/>
      <c r="D143" s="8"/>
      <c r="E143" s="8"/>
      <c r="F143" s="8"/>
      <c r="G143" s="8"/>
      <c r="H143" s="8"/>
      <c r="I143" s="8"/>
    </row>
    <row r="144" spans="1:19" ht="11.25" customHeight="1">
      <c r="A144" s="47"/>
      <c r="B144" s="8"/>
      <c r="C144" s="8"/>
      <c r="D144" s="8"/>
      <c r="E144" s="8"/>
      <c r="F144" s="8"/>
      <c r="G144" s="8"/>
      <c r="H144" s="8"/>
      <c r="I144" s="8"/>
    </row>
    <row r="145" spans="1:9" ht="11.25" customHeight="1">
      <c r="A145" s="47"/>
      <c r="B145" s="8"/>
      <c r="C145" s="8"/>
      <c r="D145" s="8"/>
      <c r="E145" s="8"/>
      <c r="F145" s="8"/>
      <c r="G145" s="8"/>
      <c r="H145" s="8"/>
      <c r="I145" s="8"/>
    </row>
    <row r="146" spans="1:9" ht="11.25" customHeight="1">
      <c r="A146" s="47"/>
      <c r="B146" s="8"/>
      <c r="C146" s="8"/>
      <c r="D146" s="8"/>
      <c r="E146" s="8"/>
      <c r="F146" s="8"/>
      <c r="G146" s="8"/>
      <c r="H146" s="8"/>
      <c r="I146" s="8"/>
    </row>
    <row r="147" spans="1:9" ht="11.25" customHeight="1"/>
    <row r="148" spans="1:9" ht="11.25" customHeight="1"/>
    <row r="149" spans="1:9" ht="11.25" customHeight="1"/>
    <row r="150" spans="1:9" ht="11.25" customHeight="1"/>
    <row r="151" spans="1:9" ht="11.25" customHeight="1"/>
    <row r="152" spans="1:9" ht="11.25" customHeight="1"/>
    <row r="153" spans="1:9" ht="11.25" customHeight="1"/>
    <row r="154" spans="1:9" ht="11.25" customHeight="1"/>
    <row r="155" spans="1:9" ht="11.25" customHeight="1"/>
    <row r="156" spans="1:9" ht="11.25" customHeight="1"/>
    <row r="157" spans="1:9" ht="11.25" customHeight="1"/>
    <row r="158" spans="1:9" ht="11.25" customHeight="1"/>
    <row r="159" spans="1:9" ht="11.25" customHeight="1"/>
    <row r="160" spans="1:9"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spans="1:13" ht="11.25" customHeight="1">
      <c r="A433" s="96"/>
      <c r="B433" s="84"/>
      <c r="C433" s="84"/>
      <c r="D433" s="84"/>
      <c r="E433" s="84"/>
      <c r="F433" s="84"/>
      <c r="G433" s="84"/>
      <c r="H433" s="84"/>
      <c r="I433" s="84"/>
      <c r="J433" s="84"/>
      <c r="K433" s="84"/>
      <c r="L433" s="84"/>
      <c r="M433" s="83"/>
    </row>
    <row r="434" spans="1:13" ht="11.25" customHeight="1">
      <c r="A434" s="47"/>
      <c r="B434" s="8"/>
      <c r="C434" s="8"/>
      <c r="D434" s="8"/>
      <c r="E434" s="8"/>
      <c r="F434" s="8"/>
      <c r="G434" s="8"/>
      <c r="H434" s="8"/>
      <c r="I434" s="8"/>
      <c r="K434" s="8"/>
      <c r="L434" s="8"/>
      <c r="M434" s="48"/>
    </row>
    <row r="435" spans="1:13" ht="11.25" customHeight="1">
      <c r="A435" s="47"/>
      <c r="B435" s="8"/>
      <c r="C435" s="8"/>
      <c r="D435" s="8"/>
      <c r="E435" s="8"/>
      <c r="F435" s="8"/>
      <c r="G435" s="8"/>
      <c r="H435" s="8"/>
      <c r="I435" s="8"/>
      <c r="K435" s="8"/>
      <c r="L435" s="8"/>
      <c r="M435" s="48"/>
    </row>
    <row r="436" spans="1:13" ht="11.25" customHeight="1">
      <c r="A436" s="47"/>
      <c r="B436" s="8"/>
      <c r="C436" s="8"/>
      <c r="D436" s="8"/>
      <c r="E436" s="8"/>
      <c r="F436" s="8"/>
      <c r="G436" s="8"/>
      <c r="H436" s="8"/>
      <c r="I436" s="8"/>
      <c r="K436" s="8"/>
      <c r="L436" s="8"/>
      <c r="M436" s="48"/>
    </row>
    <row r="437" spans="1:13" ht="11.25" customHeight="1">
      <c r="A437" s="47"/>
      <c r="B437" s="8"/>
      <c r="C437" s="8"/>
      <c r="D437" s="8"/>
      <c r="E437" s="8"/>
      <c r="F437" s="8"/>
      <c r="G437" s="8"/>
      <c r="H437" s="8"/>
      <c r="I437" s="8"/>
      <c r="K437" s="8"/>
      <c r="L437" s="8"/>
      <c r="M437" s="48"/>
    </row>
    <row r="438" spans="1:13" ht="11.25" customHeight="1">
      <c r="A438" s="47"/>
      <c r="B438" s="8"/>
      <c r="C438" s="8"/>
      <c r="D438" s="8"/>
      <c r="E438" s="8"/>
      <c r="F438" s="8"/>
      <c r="G438" s="8"/>
      <c r="H438" s="8"/>
      <c r="I438" s="8"/>
      <c r="K438" s="8"/>
      <c r="L438" s="8"/>
      <c r="M438" s="48"/>
    </row>
    <row r="439" spans="1:13" ht="11.25" customHeight="1">
      <c r="A439" s="47"/>
      <c r="B439" s="8"/>
      <c r="C439" s="8"/>
      <c r="D439" s="8"/>
      <c r="E439" s="8"/>
      <c r="F439" s="8"/>
      <c r="G439" s="8"/>
      <c r="H439" s="8"/>
      <c r="I439" s="8"/>
      <c r="K439" s="8"/>
      <c r="L439" s="8"/>
      <c r="M439" s="48"/>
    </row>
    <row r="440" spans="1:13" ht="11.25" customHeight="1">
      <c r="A440" s="47"/>
      <c r="B440" s="8"/>
      <c r="C440" s="8"/>
      <c r="D440" s="8"/>
      <c r="E440" s="8"/>
      <c r="F440" s="8"/>
      <c r="G440" s="8"/>
      <c r="H440" s="8"/>
      <c r="I440" s="8"/>
      <c r="K440" s="8"/>
      <c r="L440" s="8"/>
      <c r="M440" s="48"/>
    </row>
    <row r="441" spans="1:13" ht="11.25" customHeight="1">
      <c r="A441" s="47"/>
      <c r="B441" s="8"/>
      <c r="C441" s="8"/>
      <c r="D441" s="8"/>
      <c r="E441" s="8"/>
      <c r="F441" s="8"/>
      <c r="G441" s="8"/>
      <c r="H441" s="8"/>
      <c r="I441" s="8"/>
      <c r="K441" s="8"/>
      <c r="L441" s="8"/>
      <c r="M441" s="48"/>
    </row>
    <row r="442" spans="1:13" ht="11.25" customHeight="1">
      <c r="A442" s="47"/>
      <c r="B442" s="8"/>
      <c r="C442" s="8"/>
      <c r="D442" s="8"/>
      <c r="E442" s="8"/>
      <c r="F442" s="8"/>
      <c r="G442" s="8"/>
      <c r="H442" s="8"/>
      <c r="I442" s="8"/>
      <c r="K442" s="8"/>
      <c r="L442" s="8"/>
      <c r="M442" s="48"/>
    </row>
    <row r="443" spans="1:13" ht="11.25" customHeight="1">
      <c r="A443" s="47"/>
      <c r="B443" s="8"/>
      <c r="C443" s="8"/>
      <c r="D443" s="8"/>
      <c r="E443" s="8"/>
      <c r="F443" s="8"/>
      <c r="G443" s="8"/>
      <c r="H443" s="8"/>
      <c r="I443" s="8"/>
      <c r="K443" s="8"/>
      <c r="L443" s="8"/>
      <c r="M443" s="48"/>
    </row>
    <row r="444" spans="1:13" ht="11.25" customHeight="1">
      <c r="A444" s="47"/>
      <c r="B444" s="8"/>
      <c r="C444" s="8"/>
      <c r="D444" s="8"/>
      <c r="E444" s="8"/>
      <c r="F444" s="8"/>
      <c r="G444" s="8"/>
      <c r="H444" s="8"/>
      <c r="I444" s="8"/>
      <c r="K444" s="8"/>
      <c r="L444" s="8"/>
      <c r="M444" s="48"/>
    </row>
    <row r="445" spans="1:13" ht="11.25" customHeight="1">
      <c r="A445" s="47"/>
      <c r="B445" s="8"/>
      <c r="C445" s="8"/>
      <c r="D445" s="8"/>
      <c r="E445" s="8"/>
      <c r="F445" s="8"/>
      <c r="G445" s="8"/>
      <c r="H445" s="8"/>
      <c r="I445" s="8"/>
      <c r="K445" s="8"/>
      <c r="L445" s="8"/>
      <c r="M445" s="48"/>
    </row>
    <row r="446" spans="1:13" ht="11.25" customHeight="1">
      <c r="A446" s="47"/>
      <c r="B446" s="8"/>
      <c r="C446" s="8"/>
      <c r="D446" s="8"/>
      <c r="E446" s="8"/>
      <c r="F446" s="8"/>
      <c r="G446" s="8"/>
      <c r="H446" s="8"/>
      <c r="I446" s="8"/>
      <c r="K446" s="8"/>
      <c r="L446" s="8"/>
      <c r="M446" s="48"/>
    </row>
    <row r="447" spans="1:13" ht="11.25" customHeight="1">
      <c r="A447" s="47"/>
      <c r="B447" s="8"/>
      <c r="C447" s="8"/>
      <c r="D447" s="8"/>
      <c r="E447" s="8"/>
      <c r="F447" s="8"/>
      <c r="G447" s="8"/>
      <c r="H447" s="8"/>
      <c r="I447" s="8"/>
      <c r="K447" s="8"/>
      <c r="L447" s="8"/>
      <c r="M447" s="48"/>
    </row>
    <row r="448" spans="1:13" ht="11.25" customHeight="1">
      <c r="A448" s="47"/>
      <c r="B448" s="8"/>
      <c r="C448" s="8"/>
      <c r="D448" s="8"/>
      <c r="E448" s="8"/>
      <c r="F448" s="8"/>
      <c r="G448" s="8"/>
      <c r="H448" s="8"/>
      <c r="I448" s="8"/>
      <c r="K448" s="8"/>
      <c r="L448" s="8"/>
      <c r="M448" s="48"/>
    </row>
    <row r="449" spans="1:13" ht="11.25" customHeight="1">
      <c r="A449" s="47"/>
      <c r="B449" s="8"/>
      <c r="C449" s="8"/>
      <c r="D449" s="8"/>
      <c r="E449" s="8"/>
      <c r="F449" s="8"/>
      <c r="G449" s="8"/>
      <c r="H449" s="8"/>
      <c r="I449" s="8"/>
      <c r="K449" s="8"/>
      <c r="L449" s="8"/>
      <c r="M449" s="48"/>
    </row>
    <row r="450" spans="1:13" ht="11.25" customHeight="1">
      <c r="A450" s="47"/>
      <c r="B450" s="8"/>
      <c r="C450" s="8"/>
      <c r="D450" s="8"/>
      <c r="E450" s="8"/>
      <c r="F450" s="8"/>
      <c r="G450" s="8"/>
      <c r="H450" s="8"/>
      <c r="I450" s="8"/>
      <c r="K450" s="8"/>
      <c r="L450" s="8"/>
      <c r="M450" s="48"/>
    </row>
    <row r="451" spans="1:13" ht="11.25" customHeight="1">
      <c r="A451" s="47"/>
      <c r="B451" s="8"/>
      <c r="C451" s="8"/>
      <c r="D451" s="8"/>
      <c r="E451" s="8"/>
      <c r="F451" s="8"/>
      <c r="G451" s="8"/>
      <c r="H451" s="8"/>
      <c r="I451" s="8"/>
      <c r="K451" s="8"/>
      <c r="L451" s="8"/>
      <c r="M451" s="48"/>
    </row>
    <row r="452" spans="1:13" ht="11.25" customHeight="1">
      <c r="A452" s="47"/>
      <c r="B452" s="8"/>
      <c r="C452" s="8"/>
      <c r="D452" s="8"/>
      <c r="E452" s="8"/>
      <c r="F452" s="8"/>
      <c r="G452" s="8"/>
      <c r="H452" s="8"/>
      <c r="I452" s="8"/>
      <c r="K452" s="8"/>
      <c r="L452" s="8"/>
      <c r="M452" s="48"/>
    </row>
    <row r="453" spans="1:13" ht="11.25" customHeight="1">
      <c r="A453" s="57"/>
      <c r="B453" s="39"/>
      <c r="C453" s="39"/>
      <c r="D453" s="39"/>
      <c r="E453" s="39"/>
      <c r="F453" s="39"/>
      <c r="G453" s="39"/>
      <c r="H453" s="39"/>
      <c r="I453" s="39"/>
      <c r="J453" s="39"/>
      <c r="K453" s="39"/>
      <c r="L453" s="39"/>
      <c r="M453" s="58"/>
    </row>
    <row r="454" spans="1:13" ht="11.25" customHeight="1"/>
    <row r="455" spans="1:13" ht="11.25" customHeight="1"/>
    <row r="456" spans="1:13" ht="11.25" customHeight="1"/>
    <row r="457" spans="1:13" ht="11.25" customHeight="1"/>
    <row r="458" spans="1:13" ht="11.25" customHeight="1"/>
    <row r="459" spans="1:13" ht="11.25" customHeight="1"/>
    <row r="460" spans="1:13" ht="11.25" customHeight="1"/>
    <row r="461" spans="1:13" ht="11.25" customHeight="1"/>
    <row r="462" spans="1:13" ht="11.25" customHeight="1"/>
    <row r="463" spans="1:13" ht="11.25" customHeight="1"/>
    <row r="464" spans="1:13"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row r="1036" ht="11.25" customHeight="1"/>
    <row r="1037" ht="11.25" customHeight="1"/>
    <row r="1038" ht="11.25" customHeight="1"/>
    <row r="1039" ht="11.25" customHeight="1"/>
    <row r="1040" ht="11.25" customHeight="1"/>
    <row r="1041" ht="11.25" customHeight="1"/>
    <row r="1042" ht="11.25" customHeight="1"/>
    <row r="1043" ht="11.25" customHeight="1"/>
    <row r="1044" ht="11.25" customHeight="1"/>
    <row r="1045" ht="11.25" customHeight="1"/>
    <row r="1046" ht="11.25" customHeight="1"/>
    <row r="1047" ht="11.25" customHeight="1"/>
    <row r="1048" ht="11.25" customHeight="1"/>
    <row r="1049" ht="11.25" customHeight="1"/>
    <row r="1050" ht="11.25" customHeight="1"/>
    <row r="1051" ht="11.25" customHeight="1"/>
    <row r="1052" ht="11.25" customHeight="1"/>
    <row r="1053" ht="11.25" customHeight="1"/>
    <row r="1054" ht="11.25" customHeight="1"/>
    <row r="1055" ht="11.25" customHeight="1"/>
    <row r="1056" ht="11.25" customHeight="1"/>
    <row r="1057" ht="11.25" customHeight="1"/>
    <row r="1058" ht="11.25" customHeight="1"/>
    <row r="1059" ht="11.25" customHeight="1"/>
    <row r="1060" ht="11.25" customHeight="1"/>
    <row r="1061" ht="11.25" customHeight="1"/>
    <row r="1062" ht="11.25" customHeight="1"/>
    <row r="1063" ht="11.25" customHeight="1"/>
    <row r="1064" ht="11.25" customHeight="1"/>
    <row r="1065" ht="11.25" customHeight="1"/>
    <row r="1066" ht="11.25" customHeight="1"/>
    <row r="1067" ht="11.25" customHeight="1"/>
    <row r="1068" ht="11.25" customHeight="1"/>
    <row r="1069" ht="11.25" customHeight="1"/>
    <row r="1070" ht="11.25" customHeight="1"/>
    <row r="1071" ht="11.25" customHeight="1"/>
    <row r="1072" ht="11.25" customHeight="1"/>
    <row r="1073" ht="11.25" customHeight="1"/>
    <row r="1074" ht="11.25" customHeight="1"/>
    <row r="1075" ht="11.25" customHeight="1"/>
    <row r="1076" ht="11.25" customHeight="1"/>
    <row r="1077" ht="11.25" customHeight="1"/>
    <row r="1078" ht="11.25" customHeight="1"/>
    <row r="1079" ht="11.25" customHeight="1"/>
    <row r="1080" ht="11.25" customHeight="1"/>
    <row r="1081" ht="11.25" customHeight="1"/>
    <row r="1082" ht="11.25" customHeight="1"/>
    <row r="1083" ht="11.25" customHeight="1"/>
    <row r="1084" ht="11.25" customHeight="1"/>
    <row r="1085" ht="11.25" customHeight="1"/>
    <row r="1086" ht="11.25" customHeight="1"/>
    <row r="1087" ht="11.25" customHeight="1"/>
    <row r="1088" ht="11.25" customHeight="1"/>
    <row r="1089" ht="11.25" customHeight="1"/>
    <row r="1090" ht="11.25" customHeight="1"/>
    <row r="1091" ht="11.25" customHeight="1"/>
    <row r="1092" ht="11.25" customHeight="1"/>
    <row r="1093" ht="11.25" customHeight="1"/>
    <row r="1094" ht="11.25" customHeight="1"/>
    <row r="1095" ht="11.25" customHeight="1"/>
    <row r="1096" ht="11.25" customHeight="1"/>
    <row r="1097" ht="11.25" customHeight="1"/>
    <row r="1098" ht="11.25" customHeight="1"/>
    <row r="1099" ht="11.25" customHeight="1"/>
    <row r="1100" ht="11.25" customHeight="1"/>
    <row r="1101" ht="11.25" customHeight="1"/>
    <row r="1102" ht="11.25" customHeight="1"/>
    <row r="1103" ht="11.25" customHeight="1"/>
    <row r="1104" ht="11.25" customHeight="1"/>
    <row r="1105" ht="11.25" customHeight="1"/>
    <row r="1106" ht="11.25" customHeight="1"/>
    <row r="1107" ht="11.25" customHeight="1"/>
    <row r="1108" ht="11.25" customHeight="1"/>
    <row r="1109" ht="11.25" customHeight="1"/>
    <row r="1110" ht="11.25" customHeight="1"/>
    <row r="1111" ht="11.25" customHeight="1"/>
    <row r="1112" ht="11.25" customHeight="1"/>
    <row r="1113" ht="11.25" customHeight="1"/>
    <row r="1114" ht="11.25" customHeight="1"/>
    <row r="1115" ht="11.25" customHeight="1"/>
    <row r="1116" ht="11.25" customHeight="1"/>
    <row r="1117" ht="11.25" customHeight="1"/>
    <row r="1118" ht="11.25" customHeight="1"/>
    <row r="1119" ht="11.25" customHeight="1"/>
    <row r="1120" ht="11.25" customHeight="1"/>
    <row r="1121" ht="11.25" customHeight="1"/>
    <row r="1122" ht="11.25" customHeight="1"/>
    <row r="1123" ht="11.25" customHeight="1"/>
    <row r="1124" ht="11.25" customHeight="1"/>
    <row r="1125" ht="11.25" customHeight="1"/>
    <row r="1126" ht="11.25" customHeight="1"/>
    <row r="1127" ht="11.25" customHeight="1"/>
    <row r="1128" ht="11.25" customHeight="1"/>
    <row r="1129" ht="11.25" customHeight="1"/>
    <row r="1130" ht="11.25" customHeight="1"/>
    <row r="1131" ht="11.25" customHeight="1"/>
    <row r="1132" ht="11.25" customHeight="1"/>
    <row r="1133" ht="11.25" customHeight="1"/>
    <row r="1134" ht="11.25" customHeight="1"/>
    <row r="1135" ht="11.25" customHeight="1"/>
    <row r="1136" ht="11.25" customHeight="1"/>
    <row r="1137" ht="11.25" customHeight="1"/>
    <row r="1138" ht="11.25" customHeight="1"/>
    <row r="1139" ht="11.25" customHeight="1"/>
    <row r="1140" ht="11.25" customHeight="1"/>
    <row r="1141" ht="11.25" customHeight="1"/>
    <row r="1142" ht="11.25" customHeight="1"/>
    <row r="1143" ht="11.25" customHeight="1"/>
    <row r="1144" ht="11.25" customHeight="1"/>
    <row r="1145" ht="11.25" customHeight="1"/>
    <row r="1146" ht="11.25" customHeight="1"/>
    <row r="1147" ht="11.25" customHeight="1"/>
    <row r="1148" ht="11.25" customHeight="1"/>
    <row r="1149" ht="11.25" customHeight="1"/>
    <row r="1150" ht="11.25" customHeight="1"/>
    <row r="1151" ht="11.25" customHeight="1"/>
    <row r="1152" ht="11.25" customHeight="1"/>
    <row r="1153" ht="11.25" customHeight="1"/>
    <row r="1154" ht="11.25" customHeight="1"/>
    <row r="1155" ht="11.25" customHeight="1"/>
    <row r="1156" ht="11.25" customHeight="1"/>
    <row r="1157" ht="11.25" customHeight="1"/>
    <row r="1158" ht="11.25" customHeight="1"/>
    <row r="1159" ht="11.25" customHeight="1"/>
    <row r="1160" ht="11.25" customHeight="1"/>
    <row r="1161" ht="11.25" customHeight="1"/>
    <row r="1162" ht="11.25" customHeight="1"/>
    <row r="1163" ht="11.25" customHeight="1"/>
    <row r="1164" ht="11.25" customHeight="1"/>
    <row r="1165" ht="11.25" customHeight="1"/>
    <row r="1166" ht="11.25" customHeight="1"/>
    <row r="1167" ht="11.25" customHeight="1"/>
    <row r="1168" ht="11.25" customHeight="1"/>
    <row r="1169" ht="11.25" customHeight="1"/>
    <row r="1170" ht="11.25" customHeight="1"/>
    <row r="1171" ht="11.25" customHeight="1"/>
    <row r="1172" ht="11.25" customHeight="1"/>
    <row r="1173" ht="11.25" customHeight="1"/>
    <row r="1174" ht="11.25" customHeight="1"/>
    <row r="1175" ht="11.25" customHeight="1"/>
    <row r="1176" ht="11.25" customHeight="1"/>
    <row r="1177" ht="11.25" customHeight="1"/>
    <row r="1178" ht="11.25" customHeight="1"/>
    <row r="1179" ht="11.25" customHeight="1"/>
    <row r="1180" ht="11.25" customHeight="1"/>
    <row r="1181" ht="11.25" customHeight="1"/>
    <row r="1182" ht="11.25" customHeight="1"/>
    <row r="1183" ht="11.25" customHeight="1"/>
    <row r="1184" ht="11.25" customHeight="1"/>
    <row r="1185" ht="11.25" customHeight="1"/>
    <row r="1186" ht="11.25" customHeight="1"/>
    <row r="1187" ht="11.25" customHeight="1"/>
    <row r="1188" ht="11.25" customHeight="1"/>
    <row r="1189" ht="11.25" customHeight="1"/>
    <row r="1190" ht="11.25" customHeight="1"/>
    <row r="1191" ht="11.25" customHeight="1"/>
    <row r="1192" ht="11.25" customHeight="1"/>
    <row r="1193" ht="11.25" customHeight="1"/>
    <row r="1194" ht="11.25" customHeight="1"/>
    <row r="1195" ht="11.25" customHeight="1"/>
    <row r="1196" ht="11.25" customHeight="1"/>
    <row r="1197" ht="11.25" customHeight="1"/>
    <row r="1198" ht="11.25" customHeight="1"/>
    <row r="1199" ht="11.25" customHeight="1"/>
    <row r="1200" ht="11.25" customHeight="1"/>
    <row r="1201" ht="11.25" customHeight="1"/>
    <row r="1202" ht="11.25" customHeight="1"/>
    <row r="1203" ht="11.25" customHeight="1"/>
    <row r="1204" ht="11.25" customHeight="1"/>
    <row r="1205" ht="11.25" customHeight="1"/>
    <row r="1206" ht="11.25" customHeight="1"/>
    <row r="1207" ht="11.25" customHeight="1"/>
    <row r="1208" ht="11.25" customHeight="1"/>
    <row r="1209" ht="11.25" customHeight="1"/>
    <row r="1210" ht="11.25" customHeight="1"/>
    <row r="1211" ht="11.25" customHeight="1"/>
    <row r="1212" ht="11.25" customHeight="1"/>
    <row r="1213" ht="11.25" customHeight="1"/>
    <row r="1214" ht="11.25" customHeight="1"/>
    <row r="1215" ht="11.25" customHeight="1"/>
    <row r="1216" ht="11.25" customHeight="1"/>
    <row r="1217" ht="11.25" customHeight="1"/>
    <row r="1218" ht="11.25" customHeight="1"/>
    <row r="1219" ht="11.25" customHeight="1"/>
    <row r="1220" ht="11.25" customHeight="1"/>
    <row r="1221" ht="11.25" customHeight="1"/>
    <row r="1222" ht="11.25" customHeight="1"/>
    <row r="1223" ht="11.25" customHeight="1"/>
    <row r="1224" ht="11.25" customHeight="1"/>
    <row r="1225" ht="11.25" customHeight="1"/>
    <row r="1226" ht="11.25" customHeight="1"/>
    <row r="1227" ht="11.25" customHeight="1"/>
    <row r="1228" ht="11.25" customHeight="1"/>
    <row r="1229" ht="11.25" customHeight="1"/>
    <row r="1230" ht="11.25" customHeight="1"/>
    <row r="1231" ht="11.25" customHeight="1"/>
    <row r="1232" ht="11.25" customHeight="1"/>
    <row r="1233" ht="11.25" customHeight="1"/>
    <row r="1234" ht="11.25" customHeight="1"/>
    <row r="1235" ht="11.25" customHeight="1"/>
    <row r="1236" ht="11.25" customHeight="1"/>
    <row r="1237" ht="11.25" customHeight="1"/>
    <row r="1238" ht="11.25" customHeight="1"/>
    <row r="1239" ht="11.25" customHeight="1"/>
    <row r="1240" ht="11.25" customHeight="1"/>
    <row r="1241" ht="11.25" customHeight="1"/>
    <row r="1242" ht="11.25" customHeight="1"/>
    <row r="1243" ht="11.25" customHeight="1"/>
    <row r="1244" ht="11.25" customHeight="1"/>
    <row r="1245" ht="11.25" customHeight="1"/>
    <row r="1246" ht="11.25" customHeight="1"/>
    <row r="1247" ht="11.25" customHeight="1"/>
    <row r="1248" ht="11.25" customHeight="1"/>
    <row r="1249" ht="11.25" customHeight="1"/>
    <row r="1250" ht="11.25" customHeight="1"/>
    <row r="1251" ht="11.25" customHeight="1"/>
    <row r="1252" ht="11.25" customHeight="1"/>
    <row r="1253" ht="11.25" customHeight="1"/>
    <row r="1254" ht="11.25" customHeight="1"/>
    <row r="1255" ht="11.25" customHeight="1"/>
    <row r="1256" ht="11.25" customHeight="1"/>
    <row r="1257" ht="11.25" customHeight="1"/>
    <row r="1258" ht="11.25" customHeight="1"/>
    <row r="1259" ht="11.25" customHeight="1"/>
    <row r="1260" ht="11.25" customHeight="1"/>
    <row r="1261" ht="11.25" customHeight="1"/>
    <row r="1262" ht="11.25" customHeight="1"/>
    <row r="1263" ht="11.25" customHeight="1"/>
    <row r="1264" ht="11.25" customHeight="1"/>
    <row r="1265" ht="11.25" customHeight="1"/>
    <row r="1266" ht="11.25" customHeight="1"/>
    <row r="1267" ht="11.25" customHeight="1"/>
    <row r="1268" ht="11.25" customHeight="1"/>
    <row r="1269" ht="11.25" customHeight="1"/>
    <row r="1270" ht="11.25" customHeight="1"/>
    <row r="1271" ht="11.25" customHeight="1"/>
    <row r="1272" ht="11.25" customHeight="1"/>
    <row r="1273" ht="11.25" customHeight="1"/>
    <row r="1274" ht="11.25" customHeight="1"/>
    <row r="1275" ht="11.25" customHeight="1"/>
    <row r="1276" ht="11.25" customHeight="1"/>
    <row r="1277" ht="11.25" customHeight="1"/>
    <row r="1278" ht="11.25" customHeight="1"/>
    <row r="1279" ht="11.25" customHeight="1"/>
    <row r="1280" ht="11.25" customHeight="1"/>
    <row r="1281" ht="11.25" customHeight="1"/>
    <row r="1282" ht="11.25" customHeight="1"/>
    <row r="1283" ht="11.25" customHeight="1"/>
    <row r="1284" ht="11.25" customHeight="1"/>
    <row r="1285" ht="11.25" customHeight="1"/>
    <row r="1286" ht="11.25" customHeight="1"/>
    <row r="1287" ht="11.25" customHeight="1"/>
    <row r="1288" ht="11.25" customHeight="1"/>
    <row r="1289" ht="11.25" customHeight="1"/>
    <row r="1290" ht="11.25" customHeight="1"/>
    <row r="1291" ht="11.25" customHeight="1"/>
    <row r="1292" ht="11.25" customHeight="1"/>
    <row r="1293" ht="11.25" customHeight="1"/>
    <row r="1294" ht="11.25" customHeight="1"/>
    <row r="1295" ht="11.25" customHeight="1"/>
    <row r="1296" ht="11.25" customHeight="1"/>
    <row r="1297" ht="11.25" customHeight="1"/>
    <row r="1298" ht="11.25" customHeight="1"/>
    <row r="1299" ht="11.25" customHeight="1"/>
    <row r="1300" ht="11.25" customHeight="1"/>
    <row r="1301" ht="11.25" customHeight="1"/>
    <row r="1302" ht="11.25" customHeight="1"/>
    <row r="1303" ht="11.25" customHeight="1"/>
    <row r="1304" ht="11.25" customHeight="1"/>
    <row r="1305" ht="11.25" customHeight="1"/>
    <row r="1306" ht="11.25" customHeight="1"/>
    <row r="1307" ht="11.25" customHeight="1"/>
    <row r="1308" ht="11.25" customHeight="1"/>
    <row r="1309" ht="11.25" customHeight="1"/>
    <row r="1310" ht="11.25" customHeight="1"/>
    <row r="1311" ht="11.25" customHeight="1"/>
    <row r="1312" ht="11.25" customHeight="1"/>
    <row r="1313" ht="11.25" customHeight="1"/>
    <row r="1314" ht="11.25" customHeight="1"/>
    <row r="1315" ht="11.25" customHeight="1"/>
    <row r="1316" ht="11.25" customHeight="1"/>
    <row r="1317" ht="11.25" customHeight="1"/>
    <row r="1318" ht="11.25" customHeight="1"/>
    <row r="1319" ht="11.25" customHeight="1"/>
    <row r="1320" ht="11.25" customHeight="1"/>
    <row r="1321" ht="11.25" customHeight="1"/>
    <row r="1322" ht="11.25" customHeight="1"/>
    <row r="1323" ht="11.25" customHeight="1"/>
    <row r="1324" ht="11.25" customHeight="1"/>
    <row r="1325" ht="11.25" customHeight="1"/>
    <row r="1326" ht="11.25" customHeight="1"/>
    <row r="1327" ht="11.25" customHeight="1"/>
    <row r="1328" ht="11.25" customHeight="1"/>
    <row r="1329" ht="11.25" customHeight="1"/>
    <row r="1330" ht="11.25" customHeight="1"/>
    <row r="1331" ht="11.25" customHeight="1"/>
    <row r="1332" ht="11.25" customHeight="1"/>
    <row r="1333" ht="11.25" customHeight="1"/>
    <row r="1334" ht="11.25" customHeight="1"/>
    <row r="1335" ht="11.25" customHeight="1"/>
    <row r="1336" ht="11.25" customHeight="1"/>
    <row r="1337" ht="11.25" customHeight="1"/>
    <row r="1338" ht="11.25" customHeight="1"/>
    <row r="1339" ht="11.25" customHeight="1"/>
    <row r="1340" ht="11.25" customHeight="1"/>
    <row r="1341" ht="11.25" customHeight="1"/>
    <row r="1342" ht="11.25" customHeight="1"/>
    <row r="1343" ht="11.25" customHeight="1"/>
    <row r="1344" ht="11.25" customHeight="1"/>
    <row r="1345" ht="11.25" customHeight="1"/>
    <row r="1346" ht="11.25" customHeight="1"/>
    <row r="1347" ht="11.25" customHeight="1"/>
    <row r="1348" ht="11.25" customHeight="1"/>
    <row r="1349" ht="11.25" customHeight="1"/>
    <row r="1350" ht="11.25" customHeight="1"/>
    <row r="1351" ht="11.25" customHeight="1"/>
    <row r="1352" ht="11.25" customHeight="1"/>
    <row r="1353" ht="11.25" customHeight="1"/>
    <row r="1354" ht="11.25" customHeight="1"/>
    <row r="1355" ht="11.25" customHeight="1"/>
    <row r="1356" ht="11.25" customHeight="1"/>
    <row r="1357" ht="11.25" customHeight="1"/>
    <row r="1358" ht="11.25" customHeight="1"/>
    <row r="1359" ht="11.25" customHeight="1"/>
    <row r="1360" ht="11.25" customHeight="1"/>
    <row r="1361" ht="11.25" customHeight="1"/>
    <row r="1362" ht="11.25" customHeight="1"/>
    <row r="1363" ht="11.25" customHeight="1"/>
    <row r="1364" ht="11.25" customHeight="1"/>
    <row r="1365" ht="11.25" customHeight="1"/>
    <row r="1366" ht="11.25" customHeight="1"/>
    <row r="1367" ht="11.25" customHeight="1"/>
    <row r="1368" ht="11.25" customHeight="1"/>
    <row r="1369" ht="11.25" customHeight="1"/>
    <row r="1370" ht="11.25" customHeight="1"/>
    <row r="1371" ht="11.25" customHeight="1"/>
    <row r="1372" ht="11.25" customHeight="1"/>
    <row r="1373" ht="11.25" customHeight="1"/>
    <row r="1374" ht="11.25" customHeight="1"/>
    <row r="1375" ht="11.25" customHeight="1"/>
    <row r="1376" ht="11.25" customHeight="1"/>
    <row r="1377" ht="11.25" customHeight="1"/>
    <row r="1378" ht="11.25" customHeight="1"/>
    <row r="1379" ht="11.25" customHeight="1"/>
    <row r="1380" ht="11.25" customHeight="1"/>
    <row r="1381" ht="11.25" customHeight="1"/>
    <row r="1382" ht="11.25" customHeight="1"/>
    <row r="1383" ht="11.25" customHeight="1"/>
    <row r="1384" ht="11.25" customHeight="1"/>
    <row r="1385" ht="11.25" customHeight="1"/>
    <row r="1386" ht="11.25" customHeight="1"/>
    <row r="1387" ht="11.25" customHeight="1"/>
    <row r="1388" ht="11.25" customHeight="1"/>
    <row r="1389" ht="11.25" customHeight="1"/>
    <row r="1390" ht="11.25" customHeight="1"/>
    <row r="1391" ht="11.25" customHeight="1"/>
    <row r="1392" ht="11.25" customHeight="1"/>
    <row r="1393" ht="11.25" customHeight="1"/>
    <row r="1394" ht="11.25" customHeight="1"/>
    <row r="1395" ht="11.25" customHeight="1"/>
    <row r="1396" ht="11.25" customHeight="1"/>
    <row r="1397" ht="11.25" customHeight="1"/>
    <row r="1398" ht="11.25" customHeight="1"/>
    <row r="1399" ht="11.25" customHeight="1"/>
    <row r="1400" ht="11.25" customHeight="1"/>
    <row r="1401" ht="11.25" customHeight="1"/>
    <row r="1402" ht="11.25" customHeight="1"/>
    <row r="1403" ht="11.25" customHeight="1"/>
    <row r="1404" ht="11.25" customHeight="1"/>
    <row r="1405" ht="11.25" customHeight="1"/>
    <row r="1406" ht="11.25" customHeight="1"/>
    <row r="1407" ht="11.25" customHeight="1"/>
    <row r="1408" ht="11.25" customHeight="1"/>
    <row r="1409" ht="11.25" customHeight="1"/>
    <row r="1410" ht="11.25" customHeight="1"/>
    <row r="1411" ht="11.25" customHeight="1"/>
    <row r="1412" ht="11.25" customHeight="1"/>
    <row r="1413" ht="11.25" customHeight="1"/>
    <row r="1414" ht="11.25" customHeight="1"/>
    <row r="1415" ht="11.25" customHeight="1"/>
    <row r="1416" ht="11.25" customHeight="1"/>
    <row r="1417" ht="11.25" customHeight="1"/>
    <row r="1418" ht="11.25" customHeight="1"/>
    <row r="1419" ht="11.25" customHeight="1"/>
    <row r="1420" ht="11.25" customHeight="1"/>
    <row r="1421" ht="11.25" customHeight="1"/>
    <row r="1422" ht="11.25" customHeight="1"/>
    <row r="1423" ht="11.25" customHeight="1"/>
    <row r="1424" ht="11.25" customHeight="1"/>
    <row r="1425" ht="11.25" customHeight="1"/>
    <row r="1426" ht="11.25" customHeight="1"/>
    <row r="1427" ht="11.25" customHeight="1"/>
    <row r="1428" ht="11.25" customHeight="1"/>
    <row r="1429" ht="11.25" customHeight="1"/>
    <row r="1430" ht="11.25" customHeight="1"/>
    <row r="1431" ht="11.25" customHeight="1"/>
    <row r="1432" ht="11.25" customHeight="1"/>
    <row r="1433" ht="11.25" customHeight="1"/>
    <row r="1434" ht="11.25" customHeight="1"/>
    <row r="1435" ht="11.25" customHeight="1"/>
    <row r="1436" ht="11.25" customHeight="1"/>
    <row r="1437" ht="11.25" customHeight="1"/>
    <row r="1438" ht="11.25" customHeight="1"/>
    <row r="1439" ht="11.25" customHeight="1"/>
    <row r="1440" ht="11.25" customHeight="1"/>
    <row r="1441" ht="11.25" customHeight="1"/>
    <row r="1442" ht="11.25" customHeight="1"/>
    <row r="1443" ht="11.25" customHeight="1"/>
    <row r="1444" ht="11.25" customHeight="1"/>
    <row r="1445" ht="11.25" customHeight="1"/>
    <row r="1446" ht="11.25" customHeight="1"/>
    <row r="1447" ht="11.25" customHeight="1"/>
    <row r="1448" ht="11.25" customHeight="1"/>
    <row r="1449" ht="11.25" customHeight="1"/>
    <row r="1450" ht="11.25" customHeight="1"/>
    <row r="1451" ht="11.25" customHeight="1"/>
    <row r="1452" ht="11.25" customHeight="1"/>
    <row r="1453" ht="11.25" customHeight="1"/>
    <row r="1454" ht="11.25" customHeight="1"/>
    <row r="1455" ht="11.25" customHeight="1"/>
    <row r="1456" ht="11.25" customHeight="1"/>
    <row r="1457" ht="11.25" customHeight="1"/>
    <row r="1458" ht="11.25" customHeight="1"/>
    <row r="1459" ht="11.25" customHeight="1"/>
    <row r="1460" ht="11.25" customHeight="1"/>
    <row r="1461" ht="11.25" customHeight="1"/>
    <row r="1462" ht="11.25" customHeight="1"/>
    <row r="1463" ht="11.25" customHeight="1"/>
    <row r="1464" ht="11.25" customHeight="1"/>
    <row r="1465" ht="11.25" customHeight="1"/>
    <row r="1466" ht="11.25" customHeight="1"/>
    <row r="1467" ht="11.25" customHeight="1"/>
    <row r="1468" ht="11.25" customHeight="1"/>
    <row r="1469" ht="11.25" customHeight="1"/>
    <row r="1470" ht="11.25" customHeight="1"/>
    <row r="1471" ht="11.25" customHeight="1"/>
    <row r="1472" ht="11.25" customHeight="1"/>
    <row r="1473" ht="11.25" customHeight="1"/>
    <row r="1474" ht="11.25" customHeight="1"/>
    <row r="1475" ht="11.25" customHeight="1"/>
    <row r="1476" ht="11.25" customHeight="1"/>
    <row r="1477" ht="11.25" customHeight="1"/>
    <row r="1478" ht="11.25" customHeight="1"/>
    <row r="1479" ht="11.25" customHeight="1"/>
    <row r="1480" ht="11.25" customHeight="1"/>
    <row r="1481" ht="11.25" customHeight="1"/>
    <row r="1482" ht="11.25" customHeight="1"/>
    <row r="1483" ht="11.25" customHeight="1"/>
    <row r="1484" ht="11.25" customHeight="1"/>
    <row r="1485" ht="11.25" customHeight="1"/>
    <row r="1486" ht="11.25" customHeight="1"/>
    <row r="1487" ht="11.25" customHeight="1"/>
    <row r="1488" ht="11.25" customHeight="1"/>
    <row r="1489" ht="11.25" customHeight="1"/>
    <row r="1490" ht="11.25" customHeight="1"/>
    <row r="1491" ht="11.25" customHeight="1"/>
    <row r="1492" ht="11.25" customHeight="1"/>
    <row r="1493" ht="11.25" customHeight="1"/>
    <row r="1494" ht="11.25" customHeight="1"/>
    <row r="1495" ht="11.25" customHeight="1"/>
    <row r="1496" ht="11.25" customHeight="1"/>
    <row r="1497" ht="11.25" customHeight="1"/>
    <row r="1498" ht="11.25" customHeight="1"/>
    <row r="1499" ht="11.25" customHeight="1"/>
    <row r="1500" ht="11.25" customHeight="1"/>
    <row r="1501" ht="11.25" customHeight="1"/>
    <row r="1502" ht="11.25" customHeight="1"/>
    <row r="1503" ht="11.25" customHeight="1"/>
    <row r="1504" ht="11.25" customHeight="1"/>
    <row r="1505" ht="11.25" customHeight="1"/>
    <row r="1506" ht="11.25" customHeight="1"/>
    <row r="1507" ht="11.25" customHeight="1"/>
    <row r="1508" ht="11.25" customHeight="1"/>
    <row r="1509" ht="11.25" customHeight="1"/>
    <row r="1510" ht="11.25" customHeight="1"/>
    <row r="1511" ht="11.25" customHeight="1"/>
    <row r="1512" ht="11.25" customHeight="1"/>
    <row r="1513" ht="11.25" customHeight="1"/>
    <row r="1514" ht="11.25" customHeight="1"/>
    <row r="1515" ht="11.25" customHeight="1"/>
    <row r="1516" ht="11.25" customHeight="1"/>
    <row r="1517" ht="11.25" customHeight="1"/>
    <row r="1518" ht="11.25" customHeight="1"/>
    <row r="1519" ht="11.25" customHeight="1"/>
    <row r="1520" ht="11.25" customHeight="1"/>
    <row r="1521" ht="11.25" customHeight="1"/>
    <row r="1522" ht="11.25" customHeight="1"/>
    <row r="1523" ht="11.25" customHeight="1"/>
    <row r="1524" ht="11.25" customHeight="1"/>
    <row r="1525" ht="11.25" customHeight="1"/>
    <row r="1526" ht="11.25" customHeight="1"/>
    <row r="1527" ht="11.25" customHeight="1"/>
    <row r="1528" ht="11.25" customHeight="1"/>
    <row r="1529" ht="11.25" customHeight="1"/>
    <row r="1530" ht="11.25" customHeight="1"/>
    <row r="1531" ht="11.25" customHeight="1"/>
    <row r="1532" ht="11.25" customHeight="1"/>
    <row r="1533" ht="11.25" customHeight="1"/>
    <row r="1534" ht="11.25" customHeight="1"/>
    <row r="1535" ht="11.25" customHeight="1"/>
    <row r="1536" ht="11.25" customHeight="1"/>
    <row r="1537" ht="11.25" customHeight="1"/>
    <row r="1538" ht="11.25" customHeight="1"/>
    <row r="1539" ht="11.25" customHeight="1"/>
    <row r="1540" ht="11.25" customHeight="1"/>
    <row r="1541" ht="11.25" customHeight="1"/>
    <row r="1542" ht="11.25" customHeight="1"/>
    <row r="1543" ht="11.25" customHeight="1"/>
    <row r="1544" ht="11.25" customHeight="1"/>
    <row r="1545" ht="11.25" customHeight="1"/>
    <row r="1546" ht="11.25" customHeight="1"/>
    <row r="1547" ht="11.25" customHeight="1"/>
    <row r="1548" ht="11.25" customHeight="1"/>
    <row r="1549" ht="11.25" customHeight="1"/>
    <row r="1550" ht="11.25" customHeight="1"/>
    <row r="1551" ht="11.25" customHeight="1"/>
    <row r="1552" ht="11.25" customHeight="1"/>
    <row r="1553" ht="11.25" customHeight="1"/>
    <row r="1554" ht="11.25" customHeight="1"/>
    <row r="1555" ht="11.25" customHeight="1"/>
    <row r="1556" ht="11.25" customHeight="1"/>
    <row r="1557" ht="11.25" customHeight="1"/>
    <row r="1558" ht="11.25" customHeight="1"/>
    <row r="1559" ht="11.25" customHeight="1"/>
    <row r="1560" ht="11.25" customHeight="1"/>
    <row r="1561" ht="11.25" customHeight="1"/>
    <row r="1562" ht="11.25" customHeight="1"/>
    <row r="1563" ht="11.25" customHeight="1"/>
    <row r="1564" ht="11.25" customHeight="1"/>
    <row r="1565" ht="11.25" customHeight="1"/>
    <row r="1566" ht="11.25" customHeight="1"/>
    <row r="1567" ht="11.25" customHeight="1"/>
    <row r="1568" ht="11.25" customHeight="1"/>
    <row r="1569" ht="11.25" customHeight="1"/>
    <row r="1570" ht="11.25" customHeight="1"/>
    <row r="1571" ht="11.25" customHeight="1"/>
    <row r="1572" ht="11.25" customHeight="1"/>
    <row r="1573" ht="11.25" customHeight="1"/>
    <row r="1574" ht="11.25" customHeight="1"/>
    <row r="1575" ht="11.25" customHeight="1"/>
    <row r="1576" ht="11.25" customHeight="1"/>
    <row r="1577" ht="11.25" customHeight="1"/>
    <row r="1578" ht="11.25" customHeight="1"/>
    <row r="1579" ht="11.25" customHeight="1"/>
    <row r="1580" ht="11.25" customHeight="1"/>
    <row r="1581" ht="11.25" customHeight="1"/>
    <row r="1582" ht="11.25" customHeight="1"/>
    <row r="1583" ht="11.25" customHeight="1"/>
    <row r="1584" ht="11.25" customHeight="1"/>
    <row r="1585" ht="11.25" customHeight="1"/>
    <row r="1586" ht="11.25" customHeight="1"/>
    <row r="1587" ht="11.25" customHeight="1"/>
    <row r="1588" ht="11.25" customHeight="1"/>
    <row r="1589" ht="11.25" customHeight="1"/>
    <row r="1590" ht="11.25" customHeight="1"/>
    <row r="1591" ht="11.25" customHeight="1"/>
    <row r="1592" ht="11.25" customHeight="1"/>
    <row r="1593" ht="11.25" customHeight="1"/>
    <row r="1594" ht="11.25" customHeight="1"/>
    <row r="1595" ht="11.25" customHeight="1"/>
    <row r="1596" ht="11.25" customHeight="1"/>
    <row r="1597" ht="11.25" customHeight="1"/>
    <row r="1598" ht="11.25" customHeight="1"/>
    <row r="1599" ht="11.25" customHeight="1"/>
    <row r="1600" ht="11.25" customHeight="1"/>
    <row r="1601" ht="11.25" customHeight="1"/>
    <row r="1602" ht="11.25" customHeight="1"/>
    <row r="1603" ht="11.25" customHeight="1"/>
    <row r="1604" ht="11.25" customHeight="1"/>
    <row r="1605" ht="11.25" customHeight="1"/>
    <row r="1606" ht="11.25" customHeight="1"/>
    <row r="1607" ht="11.25" customHeight="1"/>
    <row r="1608" ht="11.25" customHeight="1"/>
    <row r="1609" ht="11.25" customHeight="1"/>
    <row r="1610" ht="11.25" customHeight="1"/>
    <row r="1611" ht="11.25" customHeight="1"/>
    <row r="1612" ht="11.25" customHeight="1"/>
    <row r="1613" ht="11.25" customHeight="1"/>
    <row r="1614" ht="11.25" customHeight="1"/>
    <row r="1615" ht="11.25" customHeight="1"/>
    <row r="1616" ht="11.25" customHeight="1"/>
    <row r="1617" ht="11.25" customHeight="1"/>
    <row r="1618" ht="11.25" customHeight="1"/>
    <row r="1619" ht="11.25" customHeight="1"/>
    <row r="1620" ht="11.25" customHeight="1"/>
    <row r="1621" ht="11.25" customHeight="1"/>
    <row r="1622" ht="11.25" customHeight="1"/>
    <row r="1623" ht="11.25" customHeight="1"/>
    <row r="1624" ht="11.25" customHeight="1"/>
    <row r="1625" ht="11.25" customHeight="1"/>
    <row r="1626" ht="11.25" customHeight="1"/>
    <row r="1627" ht="11.25" customHeight="1"/>
    <row r="1628" ht="11.25" customHeight="1"/>
    <row r="1629" ht="11.25" customHeight="1"/>
    <row r="1630" ht="11.25" customHeight="1"/>
    <row r="1631" ht="11.25" customHeight="1"/>
    <row r="1632" ht="11.25" customHeight="1"/>
    <row r="1633" ht="11.25" customHeight="1"/>
    <row r="1634" ht="11.25" customHeight="1"/>
    <row r="1635" ht="11.25" customHeight="1"/>
    <row r="1636" ht="11.25" customHeight="1"/>
    <row r="1637" ht="11.25" customHeight="1"/>
    <row r="1638" ht="11.25" customHeight="1"/>
    <row r="1639" ht="11.25" customHeight="1"/>
    <row r="1640" ht="11.25" customHeight="1"/>
    <row r="1641" ht="11.25" customHeight="1"/>
    <row r="1642" ht="11.25" customHeight="1"/>
    <row r="1643" ht="11.25" customHeight="1"/>
    <row r="1644" ht="11.25" customHeight="1"/>
    <row r="1645" ht="11.25" customHeight="1"/>
    <row r="1646" ht="11.25" customHeight="1"/>
    <row r="1647" ht="11.25" customHeight="1"/>
    <row r="1648" ht="11.25" customHeight="1"/>
    <row r="1649" ht="11.25" customHeight="1"/>
    <row r="1650" ht="11.25" customHeight="1"/>
    <row r="1651" ht="11.25" customHeight="1"/>
    <row r="1652" ht="11.25" customHeight="1"/>
    <row r="1653" ht="11.25" customHeight="1"/>
    <row r="1654" ht="11.25" customHeight="1"/>
    <row r="1655" ht="11.25" customHeight="1"/>
    <row r="1656" ht="11.25" customHeight="1"/>
    <row r="1657" ht="11.25" customHeight="1"/>
    <row r="1658" ht="11.25" customHeight="1"/>
    <row r="1659" ht="11.25" customHeight="1"/>
    <row r="1660" ht="11.25" customHeight="1"/>
    <row r="1661" ht="11.25" customHeight="1"/>
    <row r="1662" ht="11.25" customHeight="1"/>
    <row r="1663" ht="11.25" customHeight="1"/>
    <row r="1664" ht="11.25" customHeight="1"/>
    <row r="1665" ht="11.25" customHeight="1"/>
    <row r="1666" ht="11.25" customHeight="1"/>
    <row r="1667" ht="11.25" customHeight="1"/>
    <row r="1668" ht="11.25" customHeight="1"/>
    <row r="1669" ht="11.25" customHeight="1"/>
    <row r="1670" ht="11.25" customHeight="1"/>
    <row r="1671" ht="11.25" customHeight="1"/>
    <row r="1672" ht="11.25" customHeight="1"/>
    <row r="1673" ht="11.25" customHeight="1"/>
    <row r="1674" ht="11.25" customHeight="1"/>
    <row r="1675" ht="11.25" customHeight="1"/>
    <row r="1676" ht="11.25" customHeight="1"/>
    <row r="1677" ht="11.25" customHeight="1"/>
    <row r="1678" ht="11.25" customHeight="1"/>
    <row r="1679" ht="11.25" customHeight="1"/>
    <row r="1680" ht="11.25" customHeight="1"/>
    <row r="1681" ht="11.25" customHeight="1"/>
    <row r="1682" ht="11.25" customHeight="1"/>
    <row r="1683" ht="11.25" customHeight="1"/>
    <row r="1684" ht="11.25" customHeight="1"/>
    <row r="1685" ht="11.25" customHeight="1"/>
    <row r="1686" ht="11.25" customHeight="1"/>
    <row r="1687" ht="11.25" customHeight="1"/>
    <row r="1688" ht="11.25" customHeight="1"/>
    <row r="1689" ht="11.25" customHeight="1"/>
    <row r="1690" ht="11.25" customHeight="1"/>
    <row r="1691" ht="11.25" customHeight="1"/>
    <row r="1692" ht="11.25" customHeight="1"/>
    <row r="1693" ht="11.25" customHeight="1"/>
    <row r="1694" ht="11.25" customHeight="1"/>
    <row r="1695" ht="11.25" customHeight="1"/>
    <row r="1696" ht="11.25" customHeight="1"/>
    <row r="1697" ht="11.25" customHeight="1"/>
    <row r="1698" ht="11.25" customHeight="1"/>
    <row r="1699" ht="11.25" customHeight="1"/>
    <row r="1700" ht="11.25" customHeight="1"/>
    <row r="1701" ht="11.25" customHeight="1"/>
    <row r="1702" ht="11.25" customHeight="1"/>
    <row r="1703" ht="11.25" customHeight="1"/>
    <row r="1704" ht="11.25" customHeight="1"/>
    <row r="1705" ht="11.25" customHeight="1"/>
    <row r="1706" ht="11.25" customHeight="1"/>
    <row r="1707" ht="11.25" customHeight="1"/>
    <row r="1708" ht="11.25" customHeight="1"/>
    <row r="1709" ht="11.25" customHeight="1"/>
    <row r="1710" ht="11.25" customHeight="1"/>
    <row r="1711" ht="11.25" customHeight="1"/>
    <row r="1712" ht="11.25" customHeight="1"/>
    <row r="1713" ht="11.25" customHeight="1"/>
    <row r="1714" ht="11.25" customHeight="1"/>
    <row r="1715" ht="11.25" customHeight="1"/>
    <row r="1716" ht="11.25" customHeight="1"/>
    <row r="1717" ht="11.25" customHeight="1"/>
    <row r="1718" ht="11.25" customHeight="1"/>
    <row r="1719" ht="11.25" customHeight="1"/>
    <row r="1720" ht="11.25" customHeight="1"/>
    <row r="1721" ht="11.25" customHeight="1"/>
    <row r="1722" ht="11.25" customHeight="1"/>
    <row r="1723" ht="11.25" customHeight="1"/>
    <row r="1724" ht="11.25" customHeight="1"/>
    <row r="1725" ht="11.25" customHeight="1"/>
    <row r="1726" ht="11.25" customHeight="1"/>
    <row r="1727" ht="11.25" customHeight="1"/>
    <row r="1728" ht="11.25" customHeight="1"/>
    <row r="1729" ht="11.25" customHeight="1"/>
    <row r="1730" ht="11.25" customHeight="1"/>
    <row r="1731" ht="11.25" customHeight="1"/>
    <row r="1732" ht="11.25" customHeight="1"/>
    <row r="1733" ht="11.25" customHeight="1"/>
    <row r="1734" ht="11.25" customHeight="1"/>
    <row r="1735" ht="11.25" customHeight="1"/>
    <row r="1736" ht="11.25" customHeight="1"/>
    <row r="1737" ht="11.25" customHeight="1"/>
    <row r="1738" ht="11.25" customHeight="1"/>
    <row r="1739" ht="11.25" customHeight="1"/>
    <row r="1740" ht="11.25" customHeight="1"/>
    <row r="1741" ht="11.25" customHeight="1"/>
    <row r="1742" ht="11.25" customHeight="1"/>
    <row r="1743" ht="11.25" customHeight="1"/>
    <row r="1744" ht="11.25" customHeight="1"/>
    <row r="1745" ht="11.25" customHeight="1"/>
    <row r="1746" ht="11.25" customHeight="1"/>
    <row r="1747" ht="11.25" customHeight="1"/>
    <row r="1748" ht="11.25" customHeight="1"/>
    <row r="1749" ht="11.25" customHeight="1"/>
    <row r="1750" ht="11.25" customHeight="1"/>
    <row r="1751" ht="11.25" customHeight="1"/>
    <row r="1752" ht="11.25" customHeight="1"/>
    <row r="1753" ht="11.25" customHeight="1"/>
    <row r="1754" ht="11.25" customHeight="1"/>
    <row r="1755" ht="11.25" customHeight="1"/>
    <row r="1756" ht="11.25" customHeight="1"/>
    <row r="1757" ht="11.25" customHeight="1"/>
    <row r="1758" ht="11.25" customHeight="1"/>
    <row r="1759" ht="11.25" customHeight="1"/>
    <row r="1760" ht="11.25" customHeight="1"/>
    <row r="1761" ht="11.25" customHeight="1"/>
    <row r="1762" ht="11.25" customHeight="1"/>
    <row r="1763" ht="11.25" customHeight="1"/>
    <row r="1764" ht="11.25" customHeight="1"/>
    <row r="1765" ht="11.25" customHeight="1"/>
    <row r="1766" ht="11.25" customHeight="1"/>
    <row r="1767" ht="11.25" customHeight="1"/>
    <row r="1768" ht="11.25" customHeight="1"/>
    <row r="1769" ht="11.25" customHeight="1"/>
    <row r="1770" ht="11.25" customHeight="1"/>
    <row r="1771" ht="11.25" customHeight="1"/>
    <row r="1772" ht="11.25" customHeight="1"/>
    <row r="1773" ht="11.25" customHeight="1"/>
    <row r="1774" ht="11.25" customHeight="1"/>
    <row r="1775" ht="11.25" customHeight="1"/>
    <row r="1776" ht="11.25" customHeight="1"/>
    <row r="1777" ht="11.25" customHeight="1"/>
    <row r="1778" ht="11.25" customHeight="1"/>
    <row r="1779" ht="11.25" customHeight="1"/>
    <row r="1780" ht="11.25" customHeight="1"/>
    <row r="1781" ht="11.25" customHeight="1"/>
    <row r="1782" ht="11.25" customHeight="1"/>
    <row r="1783" ht="11.25" customHeight="1"/>
    <row r="1784" ht="11.25" customHeight="1"/>
    <row r="1785" ht="11.25" customHeight="1"/>
    <row r="1786" ht="11.25" customHeight="1"/>
    <row r="1787" ht="11.25" customHeight="1"/>
    <row r="1788" ht="11.25" customHeight="1"/>
    <row r="1789" ht="11.25" customHeight="1"/>
    <row r="1790" ht="11.25" customHeight="1"/>
    <row r="1791" ht="11.25" customHeight="1"/>
    <row r="1792" ht="11.25" customHeight="1"/>
    <row r="1793" ht="11.25" customHeight="1"/>
    <row r="1794" ht="11.25" customHeight="1"/>
    <row r="1795" ht="11.25" customHeight="1"/>
    <row r="1796" ht="11.25" customHeight="1"/>
    <row r="1797" ht="11.25" customHeight="1"/>
    <row r="1798" ht="11.25" customHeight="1"/>
    <row r="1799" ht="11.25" customHeight="1"/>
    <row r="1800" ht="11.25" customHeight="1"/>
    <row r="1801" ht="11.25" customHeight="1"/>
    <row r="1802" ht="11.25" customHeight="1"/>
    <row r="1803" ht="11.25" customHeight="1"/>
    <row r="1804" ht="11.25" customHeight="1"/>
    <row r="1805" ht="11.25" customHeight="1"/>
    <row r="1806" ht="11.25" customHeight="1"/>
    <row r="1807" ht="11.25" customHeight="1"/>
    <row r="1808" ht="11.25" customHeight="1"/>
    <row r="1809" ht="11.25" customHeight="1"/>
    <row r="1810" ht="11.25" customHeight="1"/>
    <row r="1811" ht="11.25" customHeight="1"/>
    <row r="1812" ht="11.25" customHeight="1"/>
    <row r="1813" ht="11.25" customHeight="1"/>
    <row r="1814" ht="11.25" customHeight="1"/>
    <row r="1815" ht="11.25" customHeight="1"/>
    <row r="1816" ht="11.25" customHeight="1"/>
    <row r="1817" ht="11.25" customHeight="1"/>
    <row r="1818" ht="11.25" customHeight="1"/>
    <row r="1819" ht="11.25" customHeight="1"/>
    <row r="1820" ht="11.25" customHeight="1"/>
    <row r="1821" ht="11.25" customHeight="1"/>
    <row r="1822" ht="11.25" customHeight="1"/>
    <row r="1823" ht="11.25" customHeight="1"/>
    <row r="1824" ht="11.25" customHeight="1"/>
    <row r="1825" ht="11.25" customHeight="1"/>
    <row r="1826" ht="11.25" customHeight="1"/>
    <row r="1827" ht="11.25" customHeight="1"/>
    <row r="1828" ht="11.25" customHeight="1"/>
    <row r="1829" ht="11.25" customHeight="1"/>
    <row r="1830" ht="11.25" customHeight="1"/>
    <row r="1831" ht="11.25" customHeight="1"/>
    <row r="1832" ht="11.25" customHeight="1"/>
    <row r="1833" ht="11.25" customHeight="1"/>
    <row r="1834" ht="11.25" customHeight="1"/>
    <row r="1835" ht="11.25" customHeight="1"/>
    <row r="1836" ht="11.25" customHeight="1"/>
    <row r="1837" ht="11.25" customHeight="1"/>
    <row r="1838" ht="11.25" customHeight="1"/>
    <row r="1839" ht="11.25" customHeight="1"/>
    <row r="1840" ht="11.25" customHeight="1"/>
    <row r="1841" ht="11.25" customHeight="1"/>
    <row r="1842" ht="11.25" customHeight="1"/>
    <row r="1843" ht="11.25" customHeight="1"/>
    <row r="1844" ht="11.25" customHeight="1"/>
    <row r="1845" ht="11.25" customHeight="1"/>
    <row r="1846" ht="11.25" customHeight="1"/>
    <row r="1847" ht="11.25" customHeight="1"/>
    <row r="1848" ht="11.25" customHeight="1"/>
    <row r="1849" ht="11.25" customHeight="1"/>
    <row r="1850" ht="11.25" customHeight="1"/>
    <row r="1851" ht="11.25" customHeight="1"/>
    <row r="1852" ht="11.25" customHeight="1"/>
    <row r="1853" ht="11.25" customHeight="1"/>
    <row r="1854" ht="11.25" customHeight="1"/>
    <row r="1855" ht="11.25" customHeight="1"/>
    <row r="1856" ht="11.25" customHeight="1"/>
    <row r="1857" ht="11.25" customHeight="1"/>
    <row r="1858" ht="11.25" customHeight="1"/>
    <row r="1859" ht="11.25" customHeight="1"/>
    <row r="1860" ht="11.25" customHeight="1"/>
    <row r="1861" ht="11.25" customHeight="1"/>
    <row r="1862" ht="11.25" customHeight="1"/>
    <row r="1863" ht="11.25" customHeight="1"/>
    <row r="1864" ht="11.25" customHeight="1"/>
    <row r="1865" ht="11.25" customHeight="1"/>
    <row r="1866" ht="11.25" customHeight="1"/>
    <row r="1867" ht="11.25" customHeight="1"/>
    <row r="1868" ht="11.25" customHeight="1"/>
    <row r="1869" ht="11.25" customHeight="1"/>
    <row r="1870" ht="11.25" customHeight="1"/>
    <row r="1871" ht="11.25" customHeight="1"/>
    <row r="1872" ht="11.25" customHeight="1"/>
    <row r="1873" ht="11.25" customHeight="1"/>
    <row r="1874" ht="11.25" customHeight="1"/>
    <row r="1875" ht="11.25" customHeight="1"/>
    <row r="1876" ht="11.25" customHeight="1"/>
    <row r="1877" ht="11.25" customHeight="1"/>
    <row r="1878" ht="11.25" customHeight="1"/>
    <row r="1879" ht="11.25" customHeight="1"/>
    <row r="1880" ht="11.25" customHeight="1"/>
    <row r="1881" ht="11.25" customHeight="1"/>
    <row r="1882" ht="11.25" customHeight="1"/>
    <row r="1883" ht="11.25" customHeight="1"/>
    <row r="1884" ht="11.25" customHeight="1"/>
    <row r="1885" ht="11.25" customHeight="1"/>
    <row r="1886" ht="11.25" customHeight="1"/>
    <row r="1887" ht="11.25" customHeight="1"/>
    <row r="1888" ht="11.25" customHeight="1"/>
    <row r="1889" ht="11.25" customHeight="1"/>
    <row r="1890" ht="11.25" customHeight="1"/>
    <row r="1891" ht="11.25" customHeight="1"/>
    <row r="1892" ht="11.25" customHeight="1"/>
    <row r="1893" ht="11.25" customHeight="1"/>
    <row r="1894" ht="11.25" customHeight="1"/>
    <row r="1895" ht="11.25" customHeight="1"/>
    <row r="1896" ht="11.25" customHeight="1"/>
    <row r="1897" ht="11.25" customHeight="1"/>
    <row r="1898" ht="11.25" customHeight="1"/>
    <row r="1899" ht="11.25" customHeight="1"/>
    <row r="1900" ht="11.25" customHeight="1"/>
    <row r="1901" ht="11.25" customHeight="1"/>
    <row r="1902" ht="11.25" customHeight="1"/>
    <row r="1903" ht="11.25" customHeight="1"/>
    <row r="1904" ht="11.25" customHeight="1"/>
    <row r="1905" ht="11.25" customHeight="1"/>
    <row r="1906" ht="11.25" customHeight="1"/>
    <row r="1907" ht="11.25" customHeight="1"/>
    <row r="1908" ht="11.25" customHeight="1"/>
    <row r="1909" ht="11.25" customHeight="1"/>
    <row r="1910" ht="11.25" customHeight="1"/>
    <row r="1911" ht="11.25" customHeight="1"/>
    <row r="1912" ht="11.25" customHeight="1"/>
    <row r="1913" ht="11.25" customHeight="1"/>
    <row r="1914" ht="11.25" customHeight="1"/>
    <row r="1915" ht="11.25" customHeight="1"/>
    <row r="1916" ht="11.25" customHeight="1"/>
    <row r="1917" ht="11.25" customHeight="1"/>
    <row r="1918" ht="11.25" customHeight="1"/>
    <row r="1919" ht="11.25" customHeight="1"/>
    <row r="1920" ht="11.25" customHeight="1"/>
    <row r="1921" ht="11.25" customHeight="1"/>
    <row r="1922" ht="11.25" customHeight="1"/>
    <row r="1923" ht="11.25" customHeight="1"/>
    <row r="1924" ht="11.25" customHeight="1"/>
    <row r="1925" ht="11.25" customHeight="1"/>
    <row r="1926" ht="11.25" customHeight="1"/>
    <row r="1927" ht="11.25" customHeight="1"/>
    <row r="1928" ht="11.25" customHeight="1"/>
    <row r="1929" ht="11.25" customHeight="1"/>
    <row r="1930" ht="11.25" customHeight="1"/>
    <row r="1931" ht="11.25" customHeight="1"/>
    <row r="1932" ht="11.25" customHeight="1"/>
    <row r="1933" ht="11.25" customHeight="1"/>
    <row r="1934" ht="11.25" customHeight="1"/>
    <row r="1935" ht="11.25" customHeight="1"/>
    <row r="1936" ht="11.25" customHeight="1"/>
    <row r="1937" ht="11.25" customHeight="1"/>
    <row r="1938" ht="11.25" customHeight="1"/>
    <row r="1939" ht="11.25" customHeight="1"/>
    <row r="1940" ht="11.25" customHeight="1"/>
    <row r="1941" ht="11.25" customHeight="1"/>
    <row r="1942" ht="11.25" customHeight="1"/>
    <row r="1943" ht="11.25" customHeight="1"/>
    <row r="1944" ht="11.25" customHeight="1"/>
    <row r="1945" ht="11.25" customHeight="1"/>
    <row r="1946" ht="11.25" customHeight="1"/>
    <row r="1947" ht="11.25" customHeight="1"/>
    <row r="1948" ht="11.25" customHeight="1"/>
    <row r="1949" ht="11.25" customHeight="1"/>
    <row r="1950" ht="11.25" customHeight="1"/>
    <row r="1951" ht="11.25" customHeight="1"/>
    <row r="1952" ht="11.25" customHeight="1"/>
    <row r="1953" ht="11.25" customHeight="1"/>
    <row r="1954" ht="11.25" customHeight="1"/>
    <row r="1955" ht="11.25" customHeight="1"/>
    <row r="1956" ht="11.25" customHeight="1"/>
    <row r="1957" ht="11.25" customHeight="1"/>
    <row r="1958" ht="11.25" customHeight="1"/>
    <row r="1959" ht="11.25" customHeight="1"/>
    <row r="1960" ht="11.25" customHeight="1"/>
    <row r="1961" ht="11.25" customHeight="1"/>
    <row r="1962" ht="11.25" customHeight="1"/>
    <row r="1963" ht="11.25" customHeight="1"/>
    <row r="1964" ht="11.25" customHeight="1"/>
    <row r="1965" ht="11.25" customHeight="1"/>
    <row r="1966" ht="11.25" customHeight="1"/>
    <row r="1967" ht="11.25" customHeight="1"/>
  </sheetData>
  <mergeCells count="70">
    <mergeCell ref="A1:S1"/>
    <mergeCell ref="A2:C2"/>
    <mergeCell ref="D2:O2"/>
    <mergeCell ref="P2:S2"/>
    <mergeCell ref="A3:C3"/>
    <mergeCell ref="D3:S3"/>
    <mergeCell ref="A4:C4"/>
    <mergeCell ref="D4:S4"/>
    <mergeCell ref="A5:C5"/>
    <mergeCell ref="D5:S5"/>
    <mergeCell ref="A6:C6"/>
    <mergeCell ref="D6:S6"/>
    <mergeCell ref="A7:C7"/>
    <mergeCell ref="D7:S7"/>
    <mergeCell ref="A8:C8"/>
    <mergeCell ref="D8:S8"/>
    <mergeCell ref="A9:C9"/>
    <mergeCell ref="D9:S9"/>
    <mergeCell ref="A10:C10"/>
    <mergeCell ref="D10:S10"/>
    <mergeCell ref="A11:C11"/>
    <mergeCell ref="D11:S11"/>
    <mergeCell ref="A12:C12"/>
    <mergeCell ref="D12:S12"/>
    <mergeCell ref="A14:E14"/>
    <mergeCell ref="B15:B17"/>
    <mergeCell ref="C15:E15"/>
    <mergeCell ref="F15:F17"/>
    <mergeCell ref="C16:C17"/>
    <mergeCell ref="D16:D17"/>
    <mergeCell ref="E16:E17"/>
    <mergeCell ref="A98:D98"/>
    <mergeCell ref="A89:D89"/>
    <mergeCell ref="E89:S89"/>
    <mergeCell ref="A90:D90"/>
    <mergeCell ref="E90:S90"/>
    <mergeCell ref="A91:D91"/>
    <mergeCell ref="E91:S91"/>
    <mergeCell ref="A93:D93"/>
    <mergeCell ref="E93:S93"/>
    <mergeCell ref="A95:D95"/>
    <mergeCell ref="A96:D96"/>
    <mergeCell ref="A97:D97"/>
    <mergeCell ref="A112:D112"/>
    <mergeCell ref="A99:D99"/>
    <mergeCell ref="A100:D100"/>
    <mergeCell ref="A102:D102"/>
    <mergeCell ref="A103:D103"/>
    <mergeCell ref="A104:D104"/>
    <mergeCell ref="A105:D105"/>
    <mergeCell ref="A106:D106"/>
    <mergeCell ref="A107:D107"/>
    <mergeCell ref="A109:D109"/>
    <mergeCell ref="A110:D110"/>
    <mergeCell ref="A111:D111"/>
    <mergeCell ref="A129:D129"/>
    <mergeCell ref="A130:D130"/>
    <mergeCell ref="A131:D131"/>
    <mergeCell ref="A113:D113"/>
    <mergeCell ref="A114:D114"/>
    <mergeCell ref="A124:S124"/>
    <mergeCell ref="A125:E125"/>
    <mergeCell ref="A127:D127"/>
    <mergeCell ref="A128:S128"/>
    <mergeCell ref="A116:D116"/>
    <mergeCell ref="A117:D117"/>
    <mergeCell ref="A118:D118"/>
    <mergeCell ref="A119:D119"/>
    <mergeCell ref="A120:D120"/>
    <mergeCell ref="A121:D121"/>
  </mergeCells>
  <hyperlinks>
    <hyperlink ref="A14:E14" r:id="rId1" display="RESULTADO" xr:uid="{00000000-0004-0000-0B00-000000000000}"/>
  </hyperlinks>
  <printOptions horizontalCentered="1"/>
  <pageMargins left="0.25" right="0.25" top="0.75" bottom="0.75" header="0.3" footer="0.3"/>
  <pageSetup paperSize="9" scale="88" orientation="landscape" r:id="rId2"/>
  <headerFooter alignWithMargins="0"/>
  <rowBreaks count="1" manualBreakCount="1">
    <brk id="88" max="18"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3" tint="0.39997558519241921"/>
  </sheetPr>
  <dimension ref="A1:AN112"/>
  <sheetViews>
    <sheetView showGridLines="0" view="pageBreakPreview" topLeftCell="A12" zoomScaleNormal="100" zoomScaleSheetLayoutView="100" workbookViewId="0">
      <selection activeCell="B100" sqref="B100"/>
    </sheetView>
  </sheetViews>
  <sheetFormatPr baseColWidth="10" defaultColWidth="12" defaultRowHeight="15" customHeight="1"/>
  <cols>
    <col min="1" max="2" width="9.83203125" style="6" customWidth="1"/>
    <col min="3" max="3" width="10.6640625" style="6" customWidth="1"/>
    <col min="4" max="4" width="19" style="6" customWidth="1"/>
    <col min="5" max="9" width="10.83203125" style="6" customWidth="1"/>
    <col min="10" max="10" width="10.83203125" style="8" customWidth="1"/>
    <col min="11" max="11" width="5.33203125" style="6" customWidth="1"/>
    <col min="12" max="12" width="15.83203125" style="6" customWidth="1"/>
    <col min="13" max="13" width="10.6640625" style="8" customWidth="1"/>
    <col min="14" max="16384" width="12" style="6"/>
  </cols>
  <sheetData>
    <row r="1" spans="1:14" ht="24" customHeight="1" thickBot="1">
      <c r="A1" s="3173" t="s">
        <v>148</v>
      </c>
      <c r="B1" s="3174"/>
      <c r="C1" s="3174"/>
      <c r="D1" s="3174"/>
      <c r="E1" s="3174"/>
      <c r="F1" s="3174"/>
      <c r="G1" s="3174"/>
      <c r="H1" s="3174"/>
      <c r="I1" s="3174"/>
      <c r="J1" s="3174"/>
      <c r="K1" s="3174"/>
      <c r="L1" s="3175"/>
    </row>
    <row r="2" spans="1:14" ht="30" customHeight="1">
      <c r="A2" s="3189" t="s">
        <v>58</v>
      </c>
      <c r="B2" s="3190"/>
      <c r="C2" s="3190"/>
      <c r="D2" s="3191" t="s">
        <v>171</v>
      </c>
      <c r="E2" s="3192"/>
      <c r="F2" s="3192"/>
      <c r="G2" s="3192"/>
      <c r="H2" s="3192"/>
      <c r="I2" s="3192"/>
      <c r="J2" s="3192"/>
      <c r="K2" s="3187" t="s">
        <v>267</v>
      </c>
      <c r="L2" s="3188"/>
    </row>
    <row r="3" spans="1:14" ht="12">
      <c r="A3" s="3185" t="s">
        <v>59</v>
      </c>
      <c r="B3" s="3186"/>
      <c r="C3" s="3186"/>
      <c r="D3" s="3179" t="s">
        <v>264</v>
      </c>
      <c r="E3" s="3180"/>
      <c r="F3" s="3180"/>
      <c r="G3" s="3180"/>
      <c r="H3" s="3180"/>
      <c r="I3" s="3180"/>
      <c r="J3" s="3180"/>
      <c r="K3" s="3180"/>
      <c r="L3" s="3181"/>
    </row>
    <row r="4" spans="1:14" ht="12">
      <c r="A4" s="3185" t="s">
        <v>147</v>
      </c>
      <c r="B4" s="3186"/>
      <c r="C4" s="3186"/>
      <c r="D4" s="3179" t="s">
        <v>146</v>
      </c>
      <c r="E4" s="3180"/>
      <c r="F4" s="3180"/>
      <c r="G4" s="3180"/>
      <c r="H4" s="3180"/>
      <c r="I4" s="3180"/>
      <c r="J4" s="3180"/>
      <c r="K4" s="3180"/>
      <c r="L4" s="3181"/>
    </row>
    <row r="5" spans="1:14" ht="12">
      <c r="A5" s="3185" t="s">
        <v>8</v>
      </c>
      <c r="B5" s="3186"/>
      <c r="C5" s="3186"/>
      <c r="D5" s="3179" t="s">
        <v>60</v>
      </c>
      <c r="E5" s="3180"/>
      <c r="F5" s="3180"/>
      <c r="G5" s="3180"/>
      <c r="H5" s="3180"/>
      <c r="I5" s="3180"/>
      <c r="J5" s="3180"/>
      <c r="K5" s="3180"/>
      <c r="L5" s="3181"/>
    </row>
    <row r="6" spans="1:14" ht="12">
      <c r="A6" s="3185" t="s">
        <v>61</v>
      </c>
      <c r="B6" s="3186"/>
      <c r="C6" s="3186"/>
      <c r="D6" s="3176" t="s">
        <v>172</v>
      </c>
      <c r="E6" s="3177"/>
      <c r="F6" s="3177"/>
      <c r="G6" s="3177"/>
      <c r="H6" s="3177"/>
      <c r="I6" s="3177"/>
      <c r="J6" s="3177"/>
      <c r="K6" s="3177"/>
      <c r="L6" s="3178"/>
    </row>
    <row r="7" spans="1:14" ht="53.25" customHeight="1">
      <c r="A7" s="3185" t="s">
        <v>62</v>
      </c>
      <c r="B7" s="3186"/>
      <c r="C7" s="3186"/>
      <c r="D7" s="116"/>
      <c r="E7" s="8"/>
      <c r="F7" s="117"/>
      <c r="G7" s="117"/>
      <c r="H7" s="117"/>
      <c r="I7" s="117"/>
      <c r="J7" s="117"/>
      <c r="K7" s="117"/>
      <c r="L7" s="1715"/>
    </row>
    <row r="8" spans="1:14" ht="69.75" customHeight="1">
      <c r="A8" s="3185" t="s">
        <v>63</v>
      </c>
      <c r="B8" s="3186"/>
      <c r="C8" s="3186"/>
      <c r="D8" s="3176" t="s">
        <v>64</v>
      </c>
      <c r="E8" s="3177"/>
      <c r="F8" s="3177"/>
      <c r="G8" s="3177"/>
      <c r="H8" s="3177"/>
      <c r="I8" s="3177"/>
      <c r="J8" s="3177"/>
      <c r="K8" s="3177"/>
      <c r="L8" s="3178"/>
    </row>
    <row r="9" spans="1:14" ht="12">
      <c r="A9" s="3185" t="s">
        <v>65</v>
      </c>
      <c r="B9" s="3186"/>
      <c r="C9" s="3186"/>
      <c r="D9" s="3179" t="s">
        <v>263</v>
      </c>
      <c r="E9" s="3180"/>
      <c r="F9" s="3180"/>
      <c r="G9" s="3180"/>
      <c r="H9" s="3180"/>
      <c r="I9" s="3180"/>
      <c r="J9" s="3180"/>
      <c r="K9" s="3180"/>
      <c r="L9" s="3181"/>
    </row>
    <row r="10" spans="1:14" ht="12">
      <c r="A10" s="3185" t="s">
        <v>9</v>
      </c>
      <c r="B10" s="3186"/>
      <c r="C10" s="3186"/>
      <c r="D10" s="3179" t="s">
        <v>224</v>
      </c>
      <c r="E10" s="3180"/>
      <c r="F10" s="3180"/>
      <c r="G10" s="3180"/>
      <c r="H10" s="3180"/>
      <c r="I10" s="3180"/>
      <c r="J10" s="3180"/>
      <c r="K10" s="3180"/>
      <c r="L10" s="3181"/>
    </row>
    <row r="11" spans="1:14" ht="47.25" customHeight="1">
      <c r="A11" s="3185" t="s">
        <v>66</v>
      </c>
      <c r="B11" s="3186"/>
      <c r="C11" s="3186"/>
      <c r="D11" s="3182" t="s">
        <v>696</v>
      </c>
      <c r="E11" s="3183"/>
      <c r="F11" s="3183"/>
      <c r="G11" s="3183"/>
      <c r="H11" s="3183"/>
      <c r="I11" s="3183"/>
      <c r="J11" s="3183"/>
      <c r="K11" s="3183"/>
      <c r="L11" s="3184"/>
      <c r="N11" s="259"/>
    </row>
    <row r="12" spans="1:14" ht="12">
      <c r="A12" s="3185" t="s">
        <v>67</v>
      </c>
      <c r="B12" s="3186"/>
      <c r="C12" s="3186"/>
      <c r="D12" s="3179" t="s">
        <v>162</v>
      </c>
      <c r="E12" s="3180"/>
      <c r="F12" s="3180"/>
      <c r="G12" s="3180"/>
      <c r="H12" s="3180"/>
      <c r="I12" s="3180"/>
      <c r="J12" s="3180"/>
      <c r="K12" s="3180"/>
      <c r="L12" s="3181"/>
    </row>
    <row r="13" spans="1:14" ht="12.75" thickBot="1">
      <c r="A13" s="3201" t="s">
        <v>68</v>
      </c>
      <c r="B13" s="3202"/>
      <c r="C13" s="3202"/>
      <c r="D13" s="3193" t="s">
        <v>785</v>
      </c>
      <c r="E13" s="3194"/>
      <c r="F13" s="3194"/>
      <c r="G13" s="3194"/>
      <c r="H13" s="3194"/>
      <c r="I13" s="3194"/>
      <c r="J13" s="3194"/>
      <c r="K13" s="3194"/>
      <c r="L13" s="3195"/>
    </row>
    <row r="14" spans="1:14" s="8" customFormat="1" ht="7.5" customHeight="1" thickBot="1">
      <c r="A14" s="1716"/>
      <c r="B14" s="160"/>
      <c r="C14" s="160"/>
      <c r="D14" s="160"/>
      <c r="E14" s="159"/>
      <c r="F14" s="159"/>
      <c r="G14" s="159"/>
      <c r="H14" s="159"/>
      <c r="I14" s="159"/>
      <c r="J14" s="159"/>
      <c r="K14" s="159"/>
      <c r="L14" s="1717"/>
    </row>
    <row r="15" spans="1:14" ht="19.5" customHeight="1">
      <c r="A15" s="3203" t="s">
        <v>69</v>
      </c>
      <c r="B15" s="3204"/>
      <c r="C15" s="3204"/>
      <c r="D15" s="3205"/>
      <c r="E15" s="22"/>
      <c r="F15" s="22"/>
      <c r="G15" s="22"/>
      <c r="H15" s="22"/>
      <c r="I15" s="22"/>
      <c r="J15" s="22"/>
      <c r="K15" s="22"/>
      <c r="L15" s="1718"/>
    </row>
    <row r="16" spans="1:14" ht="12" customHeight="1" thickBot="1">
      <c r="A16" s="3206" t="s">
        <v>73</v>
      </c>
      <c r="B16" s="3207"/>
      <c r="C16" s="3207"/>
      <c r="D16" s="3208"/>
      <c r="E16" s="22"/>
      <c r="F16" s="22"/>
      <c r="G16" s="22"/>
      <c r="H16" s="22"/>
      <c r="I16" s="22"/>
      <c r="J16" s="22"/>
      <c r="K16" s="22"/>
      <c r="L16" s="1718"/>
    </row>
    <row r="17" spans="1:12" ht="13.5" customHeight="1">
      <c r="A17" s="3209" t="s">
        <v>70</v>
      </c>
      <c r="B17" s="3211" t="s">
        <v>262</v>
      </c>
      <c r="C17" s="3211" t="s">
        <v>222</v>
      </c>
      <c r="D17" s="3213" t="s">
        <v>261</v>
      </c>
      <c r="E17" s="22"/>
      <c r="F17" s="22"/>
      <c r="G17" s="22"/>
      <c r="H17" s="22"/>
      <c r="I17" s="22"/>
      <c r="J17" s="22"/>
      <c r="K17" s="22"/>
      <c r="L17" s="1718"/>
    </row>
    <row r="18" spans="1:12" ht="43.5" customHeight="1" thickBot="1">
      <c r="A18" s="3210"/>
      <c r="B18" s="3212"/>
      <c r="C18" s="3212"/>
      <c r="D18" s="3214"/>
      <c r="E18" s="22"/>
      <c r="F18" s="22"/>
      <c r="G18" s="22"/>
      <c r="H18" s="22"/>
      <c r="I18" s="22"/>
      <c r="J18" s="22"/>
      <c r="K18" s="22"/>
      <c r="L18" s="1718"/>
    </row>
    <row r="19" spans="1:12" ht="12.75" hidden="1">
      <c r="A19" s="2680">
        <v>40878</v>
      </c>
      <c r="B19" s="2681">
        <v>19.890147401086114</v>
      </c>
      <c r="C19" s="2681"/>
      <c r="D19" s="2682"/>
      <c r="E19" s="22"/>
      <c r="F19" s="22"/>
      <c r="G19" s="22"/>
      <c r="H19" s="22"/>
      <c r="I19" s="22"/>
      <c r="J19" s="22"/>
      <c r="K19" s="22"/>
      <c r="L19" s="1718"/>
    </row>
    <row r="20" spans="1:12" ht="12.75" hidden="1">
      <c r="A20" s="2656">
        <v>40909</v>
      </c>
      <c r="B20" s="2657">
        <v>20.026485647788984</v>
      </c>
      <c r="C20" s="2657"/>
      <c r="D20" s="2658">
        <v>12.49</v>
      </c>
      <c r="E20" s="22"/>
      <c r="F20" s="22"/>
      <c r="G20" s="22"/>
      <c r="H20" s="22"/>
      <c r="I20" s="22"/>
      <c r="J20" s="22"/>
      <c r="K20" s="22"/>
      <c r="L20" s="1718"/>
    </row>
    <row r="21" spans="1:12" ht="12.75" hidden="1">
      <c r="A21" s="2659">
        <v>40940</v>
      </c>
      <c r="B21" s="2660">
        <v>19.918650116369278</v>
      </c>
      <c r="C21" s="2660"/>
      <c r="D21" s="2661">
        <v>12.49</v>
      </c>
      <c r="E21" s="22"/>
      <c r="F21" s="22"/>
      <c r="G21" s="22"/>
      <c r="H21" s="22"/>
      <c r="I21" s="22"/>
      <c r="J21" s="22"/>
      <c r="K21" s="22"/>
      <c r="L21" s="1718"/>
    </row>
    <row r="22" spans="1:12" ht="12.75" hidden="1">
      <c r="A22" s="2659">
        <v>40969</v>
      </c>
      <c r="B22" s="2660">
        <v>19.195065123010131</v>
      </c>
      <c r="C22" s="2660"/>
      <c r="D22" s="2661">
        <v>12.49</v>
      </c>
      <c r="E22" s="22"/>
      <c r="F22" s="22"/>
      <c r="G22" s="22"/>
      <c r="H22" s="22"/>
      <c r="I22" s="22"/>
      <c r="J22" s="22"/>
      <c r="K22" s="22"/>
      <c r="L22" s="1718"/>
    </row>
    <row r="23" spans="1:12" ht="12.75" hidden="1">
      <c r="A23" s="2659">
        <v>41000</v>
      </c>
      <c r="B23" s="2660">
        <v>19.121418234442835</v>
      </c>
      <c r="C23" s="2660"/>
      <c r="D23" s="2661">
        <v>12.49</v>
      </c>
      <c r="E23" s="22"/>
      <c r="F23" s="22"/>
      <c r="G23" s="22"/>
      <c r="H23" s="22"/>
      <c r="I23" s="22"/>
      <c r="J23" s="22"/>
      <c r="K23" s="22"/>
      <c r="L23" s="1718"/>
    </row>
    <row r="24" spans="1:12" ht="12.75" hidden="1">
      <c r="A24" s="2662">
        <v>41030</v>
      </c>
      <c r="B24" s="2660">
        <v>18.156092619392187</v>
      </c>
      <c r="C24" s="2660"/>
      <c r="D24" s="2661">
        <v>12.49</v>
      </c>
      <c r="E24" s="22"/>
      <c r="F24" s="22"/>
      <c r="G24" s="22"/>
      <c r="H24" s="22"/>
      <c r="I24" s="22"/>
      <c r="J24" s="22"/>
      <c r="K24" s="22"/>
      <c r="L24" s="1718"/>
    </row>
    <row r="25" spans="1:12" ht="12.75" hidden="1">
      <c r="A25" s="2662">
        <v>41061</v>
      </c>
      <c r="B25" s="2660">
        <v>17.1865991316932</v>
      </c>
      <c r="C25" s="2660"/>
      <c r="D25" s="2661">
        <v>12.49</v>
      </c>
      <c r="E25" s="22"/>
      <c r="F25" s="22"/>
      <c r="G25" s="22"/>
      <c r="H25" s="22"/>
      <c r="I25" s="22"/>
      <c r="J25" s="22"/>
      <c r="K25" s="22"/>
      <c r="L25" s="1718"/>
    </row>
    <row r="26" spans="1:12" ht="12.75" hidden="1">
      <c r="A26" s="2662">
        <v>41091</v>
      </c>
      <c r="B26" s="2660">
        <v>17.193473227206947</v>
      </c>
      <c r="C26" s="2660"/>
      <c r="D26" s="2661">
        <v>12.49</v>
      </c>
      <c r="E26" s="22"/>
      <c r="F26" s="22"/>
      <c r="G26" s="22"/>
      <c r="H26" s="22"/>
      <c r="I26" s="22"/>
      <c r="J26" s="22"/>
      <c r="K26" s="22"/>
      <c r="L26" s="1718"/>
    </row>
    <row r="27" spans="1:12" ht="12.75" hidden="1">
      <c r="A27" s="2662">
        <v>41122</v>
      </c>
      <c r="B27" s="2660">
        <v>17.321259044862519</v>
      </c>
      <c r="C27" s="2660"/>
      <c r="D27" s="2661">
        <v>12.49</v>
      </c>
      <c r="E27" s="22"/>
      <c r="F27" s="22"/>
      <c r="G27" s="22"/>
      <c r="H27" s="22"/>
      <c r="I27" s="22"/>
      <c r="J27" s="22"/>
      <c r="K27" s="22"/>
      <c r="L27" s="1718"/>
    </row>
    <row r="28" spans="1:12" ht="12.75" hidden="1">
      <c r="A28" s="2662">
        <v>41153</v>
      </c>
      <c r="B28" s="2660">
        <v>16.937264833574531</v>
      </c>
      <c r="C28" s="2660"/>
      <c r="D28" s="2661">
        <v>12.49</v>
      </c>
      <c r="E28" s="22"/>
      <c r="F28" s="22"/>
      <c r="G28" s="22"/>
      <c r="H28" s="22"/>
      <c r="I28" s="22"/>
      <c r="J28" s="22"/>
      <c r="K28" s="22"/>
      <c r="L28" s="1718"/>
    </row>
    <row r="29" spans="1:12" ht="12.75" hidden="1">
      <c r="A29" s="2662">
        <v>41183</v>
      </c>
      <c r="B29" s="2660">
        <v>17.358697539797394</v>
      </c>
      <c r="C29" s="2660"/>
      <c r="D29" s="2661">
        <v>12.49</v>
      </c>
      <c r="E29" s="22"/>
      <c r="F29" s="22"/>
      <c r="G29" s="22"/>
      <c r="H29" s="22"/>
      <c r="I29" s="22"/>
      <c r="J29" s="22"/>
      <c r="K29" s="22"/>
      <c r="L29" s="1718"/>
    </row>
    <row r="30" spans="1:12" ht="12.75" hidden="1">
      <c r="A30" s="2662">
        <v>41214</v>
      </c>
      <c r="B30" s="2660">
        <v>17.143820549927643</v>
      </c>
      <c r="C30" s="2660"/>
      <c r="D30" s="2661">
        <v>12.49</v>
      </c>
      <c r="E30" s="22"/>
      <c r="F30" s="22"/>
      <c r="G30" s="22"/>
      <c r="H30" s="22"/>
      <c r="I30" s="22"/>
      <c r="J30" s="22"/>
      <c r="K30" s="22"/>
      <c r="L30" s="1718"/>
    </row>
    <row r="31" spans="1:12" ht="13.5" hidden="1" thickBot="1">
      <c r="A31" s="2678">
        <v>41244</v>
      </c>
      <c r="B31" s="2665">
        <v>17.144044952335189</v>
      </c>
      <c r="C31" s="2665"/>
      <c r="D31" s="2683">
        <v>12.49</v>
      </c>
      <c r="E31" s="22"/>
      <c r="F31" s="22"/>
      <c r="G31" s="22"/>
      <c r="H31" s="22"/>
      <c r="I31" s="22"/>
      <c r="J31" s="22"/>
      <c r="K31" s="22"/>
      <c r="L31" s="1718"/>
    </row>
    <row r="32" spans="1:12" ht="12.75" hidden="1">
      <c r="A32" s="2672">
        <v>41275</v>
      </c>
      <c r="B32" s="2657">
        <v>17.034023817513749</v>
      </c>
      <c r="C32" s="2657">
        <v>1.792816091954023</v>
      </c>
      <c r="D32" s="2658">
        <v>12.49</v>
      </c>
      <c r="E32" s="22"/>
      <c r="F32" s="22"/>
      <c r="G32" s="22"/>
      <c r="H32" s="22"/>
      <c r="I32" s="22"/>
      <c r="J32" s="22"/>
      <c r="K32" s="22"/>
      <c r="L32" s="1718"/>
    </row>
    <row r="33" spans="1:12" ht="12.75" hidden="1">
      <c r="A33" s="2659">
        <v>41306</v>
      </c>
      <c r="B33" s="2660">
        <v>16.212481422981767</v>
      </c>
      <c r="C33" s="2660">
        <v>0.85553160919540217</v>
      </c>
      <c r="D33" s="2661">
        <v>12.49</v>
      </c>
      <c r="E33" s="22"/>
      <c r="F33" s="22"/>
      <c r="G33" s="22"/>
      <c r="H33" s="22"/>
      <c r="I33" s="22"/>
      <c r="J33" s="22"/>
      <c r="K33" s="22"/>
      <c r="L33" s="1718"/>
    </row>
    <row r="34" spans="1:12" ht="12.75" hidden="1">
      <c r="A34" s="2659">
        <v>41334</v>
      </c>
      <c r="B34" s="2660">
        <v>16.191595937441079</v>
      </c>
      <c r="C34" s="2660">
        <v>3.4900862068965517</v>
      </c>
      <c r="D34" s="2661">
        <v>12.49</v>
      </c>
      <c r="E34" s="22"/>
      <c r="F34" s="22"/>
      <c r="G34" s="22"/>
      <c r="H34" s="22"/>
      <c r="I34" s="22"/>
      <c r="J34" s="22"/>
      <c r="K34" s="22"/>
      <c r="L34" s="1718"/>
    </row>
    <row r="35" spans="1:12" ht="12.75" hidden="1">
      <c r="A35" s="2662">
        <v>41365</v>
      </c>
      <c r="B35" s="2660">
        <v>15.42</v>
      </c>
      <c r="C35" s="2660">
        <v>0.62348132183908045</v>
      </c>
      <c r="D35" s="2661">
        <v>12.49</v>
      </c>
      <c r="E35" s="22"/>
      <c r="F35" s="22"/>
      <c r="G35" s="22"/>
      <c r="H35" s="22"/>
      <c r="I35" s="22"/>
      <c r="J35" s="22"/>
      <c r="K35" s="22"/>
      <c r="L35" s="1718"/>
    </row>
    <row r="36" spans="1:12" ht="12.75" hidden="1">
      <c r="A36" s="2662">
        <v>41395</v>
      </c>
      <c r="B36" s="2660">
        <v>12.31</v>
      </c>
      <c r="C36" s="2660">
        <v>0.29852729885057472</v>
      </c>
      <c r="D36" s="2661">
        <v>12.49</v>
      </c>
      <c r="E36" s="22"/>
      <c r="F36" s="22"/>
      <c r="G36" s="22"/>
      <c r="H36" s="22"/>
      <c r="I36" s="22"/>
      <c r="J36" s="22"/>
      <c r="K36" s="22"/>
      <c r="L36" s="1718"/>
    </row>
    <row r="37" spans="1:12" ht="12.75" hidden="1">
      <c r="A37" s="2662">
        <v>41426</v>
      </c>
      <c r="B37" s="2660">
        <v>11.74</v>
      </c>
      <c r="C37" s="2660">
        <v>1.2007313218390803</v>
      </c>
      <c r="D37" s="2661">
        <v>12.49</v>
      </c>
      <c r="E37" s="22"/>
      <c r="F37" s="22"/>
      <c r="G37" s="22"/>
      <c r="H37" s="22"/>
      <c r="I37" s="22"/>
      <c r="J37" s="22"/>
      <c r="K37" s="22"/>
      <c r="L37" s="1718"/>
    </row>
    <row r="38" spans="1:12" ht="12.75" hidden="1">
      <c r="A38" s="2662">
        <v>41456</v>
      </c>
      <c r="B38" s="2660">
        <v>13.76</v>
      </c>
      <c r="C38" s="2660">
        <v>2.0191690613026818</v>
      </c>
      <c r="D38" s="2661">
        <v>12.49</v>
      </c>
      <c r="E38" s="22"/>
      <c r="F38" s="22"/>
      <c r="G38" s="22"/>
      <c r="H38" s="22"/>
      <c r="I38" s="22"/>
      <c r="J38" s="22"/>
      <c r="K38" s="22"/>
      <c r="L38" s="1718"/>
    </row>
    <row r="39" spans="1:12" ht="12.75" hidden="1">
      <c r="A39" s="2662">
        <v>41487</v>
      </c>
      <c r="B39" s="2660">
        <v>12.3</v>
      </c>
      <c r="C39" s="2660">
        <v>0.33849377394636088</v>
      </c>
      <c r="D39" s="2661">
        <v>12.49</v>
      </c>
      <c r="E39" s="22"/>
      <c r="F39" s="22"/>
      <c r="G39" s="22"/>
      <c r="H39" s="22"/>
      <c r="I39" s="22"/>
      <c r="J39" s="22"/>
      <c r="K39" s="22"/>
      <c r="L39" s="1718"/>
    </row>
    <row r="40" spans="1:12" ht="12.75" hidden="1">
      <c r="A40" s="2662">
        <v>41518</v>
      </c>
      <c r="B40" s="2660">
        <v>12.1</v>
      </c>
      <c r="C40" s="2660">
        <v>2.7962883141762451</v>
      </c>
      <c r="D40" s="2661">
        <v>12.49</v>
      </c>
      <c r="E40" s="22"/>
      <c r="F40" s="22"/>
      <c r="G40" s="22"/>
      <c r="H40" s="22"/>
      <c r="I40" s="22"/>
      <c r="J40" s="22"/>
      <c r="K40" s="22"/>
      <c r="L40" s="1718"/>
    </row>
    <row r="41" spans="1:12" ht="12.75" hidden="1">
      <c r="A41" s="2662">
        <v>41548</v>
      </c>
      <c r="B41" s="2660">
        <v>16.48</v>
      </c>
      <c r="C41" s="2660">
        <v>2.4786685823754797</v>
      </c>
      <c r="D41" s="2661">
        <v>12.49</v>
      </c>
      <c r="E41" s="8"/>
      <c r="F41" s="22"/>
      <c r="G41" s="22"/>
      <c r="H41" s="22"/>
      <c r="I41" s="22"/>
      <c r="J41" s="22"/>
      <c r="K41" s="22"/>
      <c r="L41" s="1718"/>
    </row>
    <row r="42" spans="1:12" ht="12.75" hidden="1">
      <c r="A42" s="2662">
        <v>41579</v>
      </c>
      <c r="B42" s="2660">
        <v>16.68</v>
      </c>
      <c r="C42" s="2660">
        <v>0.70301724137931032</v>
      </c>
      <c r="D42" s="2661">
        <v>12.49</v>
      </c>
      <c r="E42" s="8"/>
      <c r="F42" s="22"/>
      <c r="G42" s="22"/>
      <c r="H42" s="22"/>
      <c r="I42" s="22"/>
      <c r="J42" s="22"/>
      <c r="K42" s="22"/>
      <c r="L42" s="1718"/>
    </row>
    <row r="43" spans="1:12" ht="13.5" hidden="1" thickBot="1">
      <c r="A43" s="2678">
        <v>41609</v>
      </c>
      <c r="B43" s="2665">
        <v>17.170000000000002</v>
      </c>
      <c r="C43" s="2665">
        <v>0.56969588125474468</v>
      </c>
      <c r="D43" s="2683">
        <v>12.49</v>
      </c>
      <c r="E43" s="8"/>
      <c r="F43" s="22"/>
      <c r="G43" s="22"/>
      <c r="H43" s="22"/>
      <c r="I43" s="22"/>
      <c r="J43" s="22"/>
      <c r="K43" s="22"/>
      <c r="L43" s="1718"/>
    </row>
    <row r="44" spans="1:12" ht="12.75" hidden="1">
      <c r="A44" s="2672">
        <v>41640</v>
      </c>
      <c r="B44" s="2657">
        <v>20.28</v>
      </c>
      <c r="C44" s="2657">
        <v>4.9100231799999996</v>
      </c>
      <c r="D44" s="2673">
        <v>15</v>
      </c>
      <c r="E44" s="8"/>
      <c r="F44" s="22"/>
      <c r="G44" s="22"/>
      <c r="H44" s="22"/>
      <c r="I44" s="22"/>
      <c r="J44" s="22"/>
      <c r="K44" s="22"/>
      <c r="L44" s="1718"/>
    </row>
    <row r="45" spans="1:12" ht="12.75" hidden="1">
      <c r="A45" s="2662">
        <v>41671</v>
      </c>
      <c r="B45" s="2660">
        <v>19.77</v>
      </c>
      <c r="C45" s="2660">
        <v>0.34230515</v>
      </c>
      <c r="D45" s="2664">
        <v>15</v>
      </c>
      <c r="E45" s="8"/>
      <c r="F45" s="22"/>
      <c r="G45" s="22"/>
      <c r="H45" s="22"/>
      <c r="I45" s="22"/>
      <c r="J45" s="22"/>
      <c r="K45" s="22"/>
      <c r="L45" s="1718"/>
    </row>
    <row r="46" spans="1:12" ht="12.75" hidden="1">
      <c r="A46" s="2687">
        <v>41699</v>
      </c>
      <c r="B46" s="2663">
        <v>16.5</v>
      </c>
      <c r="C46" s="2663">
        <v>0.22009396000000001</v>
      </c>
      <c r="D46" s="2666">
        <v>15</v>
      </c>
      <c r="E46" s="8"/>
      <c r="F46" s="22"/>
      <c r="G46" s="22"/>
      <c r="H46" s="22"/>
      <c r="I46" s="22"/>
      <c r="J46" s="22"/>
      <c r="K46" s="22"/>
      <c r="L46" s="1718"/>
    </row>
    <row r="47" spans="1:12" ht="12.75" hidden="1">
      <c r="A47" s="2697">
        <v>41730</v>
      </c>
      <c r="B47" s="2681">
        <v>16.13</v>
      </c>
      <c r="C47" s="2681">
        <v>0.25041806</v>
      </c>
      <c r="D47" s="2698">
        <v>15</v>
      </c>
      <c r="E47" s="8"/>
      <c r="F47" s="22"/>
      <c r="G47" s="22"/>
      <c r="H47" s="22"/>
      <c r="I47" s="22"/>
      <c r="J47" s="22"/>
      <c r="K47" s="22"/>
      <c r="L47" s="1718"/>
    </row>
    <row r="48" spans="1:12" ht="12.75" hidden="1">
      <c r="A48" s="2697">
        <v>41760</v>
      </c>
      <c r="B48" s="2681">
        <v>23.36</v>
      </c>
      <c r="C48" s="2681">
        <v>7.5309305000000002</v>
      </c>
      <c r="D48" s="2698">
        <v>15</v>
      </c>
      <c r="E48" s="8"/>
      <c r="F48" s="22"/>
      <c r="G48" s="22"/>
      <c r="H48" s="22"/>
      <c r="I48" s="22"/>
      <c r="J48" s="22"/>
      <c r="K48" s="22"/>
      <c r="L48" s="1718"/>
    </row>
    <row r="49" spans="1:12" ht="12.75" hidden="1">
      <c r="A49" s="420">
        <v>41791</v>
      </c>
      <c r="B49" s="2693">
        <v>22.99</v>
      </c>
      <c r="C49" s="2693">
        <v>0.82739351999999999</v>
      </c>
      <c r="D49" s="2694">
        <v>15</v>
      </c>
      <c r="E49" s="8"/>
      <c r="F49" s="22"/>
      <c r="G49" s="22"/>
      <c r="H49" s="22"/>
      <c r="I49" s="22"/>
      <c r="J49" s="22"/>
      <c r="K49" s="22"/>
      <c r="L49" s="1718"/>
    </row>
    <row r="50" spans="1:12" ht="12.75" hidden="1">
      <c r="A50" s="421">
        <v>41821</v>
      </c>
      <c r="B50" s="2692">
        <v>22.31</v>
      </c>
      <c r="C50" s="2692">
        <v>1.3431019500000001</v>
      </c>
      <c r="D50" s="2689">
        <v>15</v>
      </c>
      <c r="E50" s="8"/>
      <c r="F50" s="22"/>
      <c r="G50" s="22"/>
      <c r="H50" s="22"/>
      <c r="I50" s="22"/>
      <c r="J50" s="22"/>
      <c r="K50" s="22"/>
      <c r="L50" s="1718"/>
    </row>
    <row r="51" spans="1:12" ht="12.75" hidden="1">
      <c r="A51" s="421">
        <v>41852</v>
      </c>
      <c r="B51" s="2692">
        <v>28.41</v>
      </c>
      <c r="C51" s="2692">
        <v>6.4408915899999997</v>
      </c>
      <c r="D51" s="2689">
        <v>15</v>
      </c>
      <c r="E51" s="8"/>
      <c r="F51" s="22"/>
      <c r="G51" s="22"/>
      <c r="H51" s="22"/>
      <c r="I51" s="22"/>
      <c r="J51" s="22"/>
      <c r="K51" s="22"/>
      <c r="L51" s="1718"/>
    </row>
    <row r="52" spans="1:12" hidden="1">
      <c r="A52" s="421">
        <v>41883</v>
      </c>
      <c r="B52" s="641">
        <v>22.2</v>
      </c>
      <c r="C52" s="2692">
        <v>0.33959393999999998</v>
      </c>
      <c r="D52" s="2689">
        <v>15</v>
      </c>
      <c r="E52" s="8"/>
      <c r="F52" s="22"/>
      <c r="G52" s="22"/>
      <c r="H52" s="22"/>
      <c r="I52" s="22"/>
      <c r="J52" s="22"/>
      <c r="K52" s="22"/>
      <c r="L52" s="1718"/>
    </row>
    <row r="53" spans="1:12" ht="12.75" hidden="1">
      <c r="A53" s="421">
        <v>41913</v>
      </c>
      <c r="B53" s="2692">
        <v>29.02</v>
      </c>
      <c r="C53" s="2692">
        <v>6.8184879299999999</v>
      </c>
      <c r="D53" s="2689">
        <v>15</v>
      </c>
      <c r="E53" s="8"/>
      <c r="F53" s="22"/>
      <c r="G53" s="22"/>
      <c r="H53" s="22"/>
      <c r="I53" s="22"/>
      <c r="J53" s="22"/>
      <c r="K53" s="22"/>
      <c r="L53" s="1718"/>
    </row>
    <row r="54" spans="1:12" ht="12.75" hidden="1">
      <c r="A54" s="421">
        <v>41944</v>
      </c>
      <c r="B54" s="2692">
        <v>29.98</v>
      </c>
      <c r="C54" s="2692">
        <v>0.96030879000000002</v>
      </c>
      <c r="D54" s="2689">
        <v>15</v>
      </c>
      <c r="E54" s="8"/>
      <c r="F54" s="22"/>
      <c r="G54" s="22"/>
      <c r="H54" s="22"/>
      <c r="I54" s="22"/>
      <c r="J54" s="22"/>
      <c r="K54" s="22"/>
      <c r="L54" s="1718"/>
    </row>
    <row r="55" spans="1:12" ht="12.75" hidden="1">
      <c r="A55" s="460">
        <v>41974</v>
      </c>
      <c r="B55" s="2699">
        <v>30.1</v>
      </c>
      <c r="C55" s="2699">
        <v>0.11880251999999999</v>
      </c>
      <c r="D55" s="2700">
        <v>15</v>
      </c>
      <c r="E55" s="8"/>
      <c r="F55" s="22"/>
      <c r="G55" s="22"/>
      <c r="H55" s="22"/>
      <c r="I55" s="22"/>
      <c r="J55" s="22"/>
      <c r="K55" s="22"/>
      <c r="L55" s="1718"/>
    </row>
    <row r="56" spans="1:12" ht="12.75" hidden="1">
      <c r="A56" s="420">
        <v>42005</v>
      </c>
      <c r="B56" s="634">
        <v>25.99</v>
      </c>
      <c r="C56" s="634">
        <v>0.79869498000000005</v>
      </c>
      <c r="D56" s="2694">
        <v>15</v>
      </c>
      <c r="E56" s="8"/>
      <c r="F56" s="22"/>
      <c r="G56" s="22"/>
      <c r="H56" s="22"/>
      <c r="I56" s="22"/>
      <c r="J56" s="22"/>
      <c r="K56" s="22"/>
      <c r="L56" s="1718"/>
    </row>
    <row r="57" spans="1:12" ht="12.75" hidden="1">
      <c r="A57" s="421">
        <v>42036</v>
      </c>
      <c r="B57" s="595">
        <v>25.81</v>
      </c>
      <c r="C57" s="595">
        <v>0.16552542000000001</v>
      </c>
      <c r="D57" s="2689">
        <v>15</v>
      </c>
      <c r="E57" s="8"/>
      <c r="F57" s="22"/>
      <c r="G57" s="22"/>
      <c r="H57" s="22"/>
      <c r="I57" s="22"/>
      <c r="J57" s="22"/>
      <c r="K57" s="22"/>
      <c r="L57" s="1718"/>
    </row>
    <row r="58" spans="1:12" ht="12.75" hidden="1">
      <c r="A58" s="421">
        <v>42064</v>
      </c>
      <c r="B58" s="595">
        <v>25.88</v>
      </c>
      <c r="C58" s="595">
        <v>0.28739337999999998</v>
      </c>
      <c r="D58" s="2689">
        <v>15</v>
      </c>
      <c r="E58" s="8"/>
      <c r="F58" s="22"/>
      <c r="G58" s="22"/>
      <c r="H58" s="22"/>
      <c r="I58" s="22"/>
      <c r="J58" s="22"/>
      <c r="K58" s="22"/>
      <c r="L58" s="1718"/>
    </row>
    <row r="59" spans="1:12" ht="12.75" hidden="1">
      <c r="A59" s="421">
        <v>42095</v>
      </c>
      <c r="B59" s="595">
        <v>27.18</v>
      </c>
      <c r="C59" s="595">
        <v>1.5449863500000001</v>
      </c>
      <c r="D59" s="2689">
        <v>15</v>
      </c>
      <c r="E59" s="8"/>
      <c r="F59" s="22"/>
      <c r="G59" s="22"/>
      <c r="H59" s="22"/>
      <c r="I59" s="22"/>
      <c r="J59" s="22"/>
      <c r="K59" s="22"/>
      <c r="L59" s="1718"/>
    </row>
    <row r="60" spans="1:12" ht="12.75" hidden="1">
      <c r="A60" s="421">
        <v>42125</v>
      </c>
      <c r="B60" s="595">
        <v>23.55</v>
      </c>
      <c r="C60" s="595">
        <v>3.9054281799999999</v>
      </c>
      <c r="D60" s="2689">
        <v>15</v>
      </c>
      <c r="E60" s="8"/>
      <c r="F60" s="22"/>
      <c r="G60" s="22"/>
      <c r="H60" s="22"/>
      <c r="I60" s="22"/>
      <c r="J60" s="22"/>
      <c r="K60" s="22"/>
      <c r="L60" s="1718"/>
    </row>
    <row r="61" spans="1:12" ht="12.75" hidden="1">
      <c r="A61" s="421">
        <v>42156</v>
      </c>
      <c r="B61" s="595">
        <v>26.23</v>
      </c>
      <c r="C61" s="595">
        <v>3.5040344600000002</v>
      </c>
      <c r="D61" s="2689">
        <v>15</v>
      </c>
      <c r="E61" s="8"/>
      <c r="F61" s="22"/>
      <c r="G61" s="22"/>
      <c r="H61" s="22"/>
      <c r="I61" s="22"/>
      <c r="J61" s="22"/>
      <c r="K61" s="22"/>
      <c r="L61" s="1718"/>
    </row>
    <row r="62" spans="1:12" ht="12.75" hidden="1">
      <c r="A62" s="421">
        <v>42186</v>
      </c>
      <c r="B62" s="595">
        <v>25.02</v>
      </c>
      <c r="C62" s="595">
        <v>0.13156602000000001</v>
      </c>
      <c r="D62" s="2689">
        <v>15</v>
      </c>
      <c r="E62" s="8"/>
      <c r="F62" s="22"/>
      <c r="G62" s="22"/>
      <c r="H62" s="22"/>
      <c r="I62" s="22"/>
      <c r="J62" s="22"/>
      <c r="K62" s="22"/>
      <c r="L62" s="1718"/>
    </row>
    <row r="63" spans="1:12" ht="12.75" hidden="1">
      <c r="A63" s="421">
        <v>42217</v>
      </c>
      <c r="B63" s="595">
        <v>19.03</v>
      </c>
      <c r="C63" s="595">
        <v>0.45860400000000001</v>
      </c>
      <c r="D63" s="2689">
        <v>15</v>
      </c>
      <c r="E63" s="8"/>
      <c r="F63" s="22"/>
      <c r="G63" s="22"/>
      <c r="H63" s="22"/>
      <c r="I63" s="22"/>
      <c r="J63" s="22"/>
      <c r="K63" s="22"/>
      <c r="L63" s="1718"/>
    </row>
    <row r="64" spans="1:12" ht="12.75" hidden="1">
      <c r="A64" s="421">
        <v>42248</v>
      </c>
      <c r="B64" s="595">
        <v>19.96</v>
      </c>
      <c r="C64" s="595">
        <v>1.266483</v>
      </c>
      <c r="D64" s="2689">
        <v>15</v>
      </c>
      <c r="E64" s="8"/>
      <c r="F64" s="22"/>
      <c r="G64" s="22"/>
      <c r="H64" s="22"/>
      <c r="I64" s="22"/>
      <c r="J64" s="22"/>
      <c r="K64" s="22"/>
      <c r="L64" s="1718"/>
    </row>
    <row r="65" spans="1:12" ht="12.75" hidden="1">
      <c r="A65" s="421">
        <v>42278</v>
      </c>
      <c r="B65" s="595">
        <v>13.92</v>
      </c>
      <c r="C65" s="595">
        <v>0.77602400000000005</v>
      </c>
      <c r="D65" s="2689">
        <v>15</v>
      </c>
      <c r="E65" s="8"/>
      <c r="F65" s="22"/>
      <c r="G65" s="22"/>
      <c r="H65" s="22"/>
      <c r="I65" s="22"/>
      <c r="J65" s="22"/>
      <c r="K65" s="22"/>
      <c r="L65" s="1718"/>
    </row>
    <row r="66" spans="1:12" ht="12.75" hidden="1">
      <c r="A66" s="460">
        <v>42309</v>
      </c>
      <c r="B66" s="635">
        <v>13.5</v>
      </c>
      <c r="C66" s="635">
        <v>0.53831700000000005</v>
      </c>
      <c r="D66" s="2689">
        <v>15</v>
      </c>
      <c r="E66" s="8"/>
      <c r="F66" s="22"/>
      <c r="G66" s="22"/>
      <c r="H66" s="22"/>
      <c r="I66" s="22"/>
      <c r="J66" s="22"/>
      <c r="K66" s="22"/>
      <c r="L66" s="1718"/>
    </row>
    <row r="67" spans="1:12" ht="12.75" hidden="1">
      <c r="A67" s="460">
        <v>42339</v>
      </c>
      <c r="B67" s="635">
        <v>14.04</v>
      </c>
      <c r="C67" s="635">
        <v>0.66362631999999999</v>
      </c>
      <c r="D67" s="2689">
        <v>15</v>
      </c>
      <c r="E67" s="8"/>
      <c r="F67" s="22"/>
      <c r="G67" s="22"/>
      <c r="H67" s="22"/>
      <c r="I67" s="22"/>
      <c r="J67" s="22"/>
      <c r="K67" s="22"/>
      <c r="L67" s="1718"/>
    </row>
    <row r="68" spans="1:12" ht="12.75" hidden="1">
      <c r="A68" s="460">
        <v>42370</v>
      </c>
      <c r="B68" s="635">
        <v>15.067158133039355</v>
      </c>
      <c r="C68" s="635">
        <v>1.82517</v>
      </c>
      <c r="D68" s="2700">
        <v>8</v>
      </c>
      <c r="E68" s="8"/>
      <c r="F68" s="22"/>
      <c r="G68" s="22"/>
      <c r="H68" s="22"/>
      <c r="I68" s="22"/>
      <c r="J68" s="22"/>
      <c r="K68" s="22"/>
      <c r="L68" s="1718"/>
    </row>
    <row r="69" spans="1:12" ht="12.75" hidden="1">
      <c r="A69" s="460">
        <v>42401</v>
      </c>
      <c r="B69" s="635">
        <v>15.216668715093258</v>
      </c>
      <c r="C69" s="635">
        <v>0.31503599999999998</v>
      </c>
      <c r="D69" s="2700">
        <v>8</v>
      </c>
      <c r="E69" s="8"/>
      <c r="F69" s="22"/>
      <c r="G69" s="22"/>
      <c r="H69" s="22"/>
      <c r="I69" s="22"/>
      <c r="J69" s="22"/>
      <c r="K69" s="22"/>
      <c r="L69" s="1718"/>
    </row>
    <row r="70" spans="1:12" ht="12.75" hidden="1">
      <c r="A70" s="460">
        <v>42430</v>
      </c>
      <c r="B70" s="635">
        <v>16.420000000000002</v>
      </c>
      <c r="C70" s="635">
        <v>1.5254531329186425</v>
      </c>
      <c r="D70" s="2700">
        <v>8</v>
      </c>
      <c r="E70" s="8"/>
      <c r="F70" s="22"/>
      <c r="G70" s="22"/>
      <c r="H70" s="22"/>
      <c r="I70" s="22"/>
      <c r="J70" s="22"/>
      <c r="K70" s="22"/>
      <c r="L70" s="1718"/>
    </row>
    <row r="71" spans="1:12" ht="12.75" hidden="1">
      <c r="A71" s="460">
        <v>42461</v>
      </c>
      <c r="B71" s="635">
        <v>17.967217877683694</v>
      </c>
      <c r="C71" s="635">
        <v>3.0574757635510141</v>
      </c>
      <c r="D71" s="2700">
        <v>8</v>
      </c>
      <c r="E71" s="8"/>
      <c r="F71" s="22"/>
      <c r="G71" s="22"/>
      <c r="H71" s="22"/>
      <c r="I71" s="22"/>
      <c r="J71" s="22"/>
      <c r="K71" s="22"/>
      <c r="L71" s="1718"/>
    </row>
    <row r="72" spans="1:12" ht="12.75" hidden="1">
      <c r="A72" s="460">
        <v>42491</v>
      </c>
      <c r="B72" s="635">
        <v>14.990731097402882</v>
      </c>
      <c r="C72" s="635">
        <v>0.92894140122720192</v>
      </c>
      <c r="D72" s="2700">
        <v>8</v>
      </c>
      <c r="E72" s="8"/>
      <c r="F72" s="22"/>
      <c r="G72" s="22"/>
      <c r="H72" s="22"/>
      <c r="I72" s="22"/>
      <c r="J72" s="22"/>
      <c r="K72" s="22"/>
      <c r="L72" s="1718"/>
    </row>
    <row r="73" spans="1:12" ht="12.75" hidden="1">
      <c r="A73" s="421">
        <v>42522</v>
      </c>
      <c r="B73" s="595">
        <v>11.87</v>
      </c>
      <c r="C73" s="595">
        <v>0.3019760906414477</v>
      </c>
      <c r="D73" s="2689">
        <v>8</v>
      </c>
      <c r="E73" s="8"/>
      <c r="F73" s="22"/>
      <c r="G73" s="22"/>
      <c r="H73" s="22"/>
      <c r="I73" s="22"/>
      <c r="J73" s="22"/>
      <c r="K73" s="22"/>
      <c r="L73" s="1718"/>
    </row>
    <row r="74" spans="1:12" ht="12.75" hidden="1">
      <c r="A74" s="421">
        <v>42552</v>
      </c>
      <c r="B74" s="595">
        <v>15.6</v>
      </c>
      <c r="C74" s="595">
        <v>3.8683498379479877</v>
      </c>
      <c r="D74" s="2689">
        <v>8</v>
      </c>
      <c r="E74" s="8"/>
      <c r="F74" s="22"/>
      <c r="G74" s="22"/>
      <c r="H74" s="22"/>
      <c r="I74" s="22"/>
      <c r="J74" s="22"/>
      <c r="K74" s="22"/>
      <c r="L74" s="1718"/>
    </row>
    <row r="75" spans="1:12" ht="12.75" hidden="1">
      <c r="A75" s="421">
        <v>42583</v>
      </c>
      <c r="B75" s="595">
        <v>16.75</v>
      </c>
      <c r="C75" s="595">
        <v>1.6080381836578852</v>
      </c>
      <c r="D75" s="2689">
        <v>8</v>
      </c>
      <c r="E75" s="8"/>
      <c r="F75" s="22"/>
      <c r="G75" s="22"/>
      <c r="H75" s="22"/>
      <c r="I75" s="22"/>
      <c r="J75" s="22"/>
      <c r="K75" s="22"/>
      <c r="L75" s="1718"/>
    </row>
    <row r="76" spans="1:12" ht="12.75" hidden="1">
      <c r="A76" s="421">
        <v>42614</v>
      </c>
      <c r="B76" s="595">
        <v>16.82</v>
      </c>
      <c r="C76" s="595">
        <v>1.3319646415111479</v>
      </c>
      <c r="D76" s="2689">
        <v>8</v>
      </c>
      <c r="E76" s="8"/>
      <c r="F76" s="22"/>
      <c r="G76" s="22"/>
      <c r="H76" s="22"/>
      <c r="I76" s="22"/>
      <c r="J76" s="22"/>
      <c r="K76" s="22"/>
      <c r="L76" s="1718"/>
    </row>
    <row r="77" spans="1:12" ht="12.75" hidden="1">
      <c r="A77" s="421">
        <v>42644</v>
      </c>
      <c r="B77" s="595">
        <v>17.5</v>
      </c>
      <c r="C77" s="595">
        <v>1.4588511463830214</v>
      </c>
      <c r="D77" s="2689">
        <v>8</v>
      </c>
      <c r="E77" s="8"/>
      <c r="F77" s="22"/>
      <c r="G77" s="22"/>
      <c r="H77" s="22"/>
      <c r="I77" s="22"/>
      <c r="J77" s="22"/>
      <c r="K77" s="22"/>
      <c r="L77" s="1718"/>
    </row>
    <row r="78" spans="1:12" ht="12.75" hidden="1">
      <c r="A78" s="421">
        <v>42675</v>
      </c>
      <c r="B78" s="595">
        <v>17.850000000000001</v>
      </c>
      <c r="C78" s="595">
        <v>0.8864394683931226</v>
      </c>
      <c r="D78" s="2689">
        <v>8</v>
      </c>
      <c r="E78" s="8"/>
      <c r="F78" s="22"/>
      <c r="G78" s="22"/>
      <c r="H78" s="22"/>
      <c r="I78" s="22"/>
      <c r="J78" s="22"/>
      <c r="K78" s="22"/>
      <c r="L78" s="1718"/>
    </row>
    <row r="79" spans="1:12" ht="12.75" hidden="1">
      <c r="A79" s="460">
        <v>42705</v>
      </c>
      <c r="B79" s="635">
        <v>18.420000000000002</v>
      </c>
      <c r="C79" s="635">
        <v>1.2384623962775345</v>
      </c>
      <c r="D79" s="2700">
        <v>8</v>
      </c>
      <c r="E79" s="8"/>
      <c r="F79" s="22"/>
      <c r="G79" s="22"/>
      <c r="H79" s="22"/>
      <c r="I79" s="22"/>
      <c r="J79" s="22"/>
      <c r="K79" s="22"/>
      <c r="L79" s="1718"/>
    </row>
    <row r="80" spans="1:12" ht="12.75" hidden="1">
      <c r="A80" s="420">
        <v>42736</v>
      </c>
      <c r="B80" s="634">
        <v>17.73</v>
      </c>
      <c r="C80" s="634">
        <v>1.1284039681854461</v>
      </c>
      <c r="D80" s="2694">
        <v>8</v>
      </c>
      <c r="E80" s="8"/>
      <c r="F80" s="22"/>
      <c r="G80" s="22"/>
      <c r="H80" s="22"/>
      <c r="I80" s="22"/>
      <c r="J80" s="22"/>
      <c r="K80" s="22"/>
      <c r="L80" s="1718"/>
    </row>
    <row r="81" spans="1:13" ht="12.75" hidden="1">
      <c r="A81" s="460">
        <v>42767</v>
      </c>
      <c r="B81" s="635">
        <v>18.23</v>
      </c>
      <c r="C81" s="635">
        <v>0.82168217188389592</v>
      </c>
      <c r="D81" s="2700">
        <v>8</v>
      </c>
      <c r="E81" s="8"/>
      <c r="F81" s="22"/>
      <c r="G81" s="22"/>
      <c r="H81" s="22"/>
      <c r="I81" s="22"/>
      <c r="J81" s="22"/>
      <c r="K81" s="22"/>
      <c r="L81" s="1718"/>
    </row>
    <row r="82" spans="1:13" ht="12.75" hidden="1">
      <c r="A82" s="420">
        <v>42795</v>
      </c>
      <c r="B82" s="634">
        <v>17.489999999999998</v>
      </c>
      <c r="C82" s="634">
        <v>0.85781936432588413</v>
      </c>
      <c r="D82" s="2694">
        <v>8</v>
      </c>
      <c r="E82" s="8"/>
      <c r="F82" s="22"/>
      <c r="G82" s="22"/>
      <c r="H82" s="22"/>
      <c r="I82" s="22"/>
      <c r="J82" s="22"/>
      <c r="K82" s="22"/>
      <c r="L82" s="1718"/>
    </row>
    <row r="83" spans="1:13" ht="12.75" hidden="1">
      <c r="A83" s="421">
        <v>42826</v>
      </c>
      <c r="B83" s="595">
        <v>14.61379074582322</v>
      </c>
      <c r="C83" s="595">
        <v>0.18286207538864444</v>
      </c>
      <c r="D83" s="2689">
        <v>8</v>
      </c>
      <c r="E83" s="8"/>
      <c r="F83" s="22"/>
      <c r="G83" s="22"/>
      <c r="H83" s="22"/>
      <c r="I83" s="22"/>
      <c r="J83" s="22"/>
      <c r="K83" s="22"/>
      <c r="L83" s="1718"/>
    </row>
    <row r="84" spans="1:13" ht="12.75" hidden="1">
      <c r="A84" s="421">
        <v>42856</v>
      </c>
      <c r="B84" s="595">
        <v>14.203037819070321</v>
      </c>
      <c r="C84" s="595">
        <v>0.51818847447430461</v>
      </c>
      <c r="D84" s="2689">
        <v>8</v>
      </c>
      <c r="E84" s="8"/>
      <c r="F84" s="22"/>
      <c r="G84" s="22"/>
      <c r="H84" s="22"/>
      <c r="I84" s="22"/>
      <c r="J84" s="22"/>
      <c r="K84" s="22"/>
      <c r="L84" s="1718"/>
    </row>
    <row r="85" spans="1:13" ht="12.75" hidden="1">
      <c r="A85" s="421">
        <v>42887</v>
      </c>
      <c r="B85" s="595">
        <v>14.578906803085351</v>
      </c>
      <c r="C85" s="595">
        <v>0.67784507465647692</v>
      </c>
      <c r="D85" s="2689">
        <v>8</v>
      </c>
      <c r="E85" s="8"/>
      <c r="F85" s="22"/>
      <c r="G85" s="22"/>
      <c r="H85" s="22"/>
      <c r="I85" s="22"/>
      <c r="J85" s="22"/>
      <c r="K85" s="22"/>
      <c r="L85" s="1718"/>
    </row>
    <row r="86" spans="1:13" ht="12.75" hidden="1">
      <c r="A86" s="421">
        <v>42917</v>
      </c>
      <c r="B86" s="595">
        <v>11.678409852237843</v>
      </c>
      <c r="C86" s="595">
        <v>0.96785288710048023</v>
      </c>
      <c r="D86" s="2689">
        <v>8</v>
      </c>
      <c r="E86" s="8"/>
      <c r="F86" s="22"/>
      <c r="G86" s="22"/>
      <c r="H86" s="22"/>
      <c r="I86" s="22"/>
      <c r="J86" s="22"/>
      <c r="K86" s="22"/>
      <c r="L86" s="1718"/>
    </row>
    <row r="87" spans="1:13" ht="12.75" hidden="1">
      <c r="A87" s="421">
        <v>42948</v>
      </c>
      <c r="B87" s="595">
        <v>11.695879288034952</v>
      </c>
      <c r="C87" s="595">
        <v>1.6255076194549951</v>
      </c>
      <c r="D87" s="2689">
        <v>8</v>
      </c>
      <c r="E87" s="8"/>
      <c r="F87" s="22"/>
      <c r="G87" s="22"/>
      <c r="H87" s="22"/>
      <c r="I87" s="22"/>
      <c r="J87" s="22"/>
      <c r="K87" s="22"/>
      <c r="L87" s="1718"/>
    </row>
    <row r="88" spans="1:13" ht="12.75" hidden="1">
      <c r="A88" s="421">
        <v>42979</v>
      </c>
      <c r="B88" s="595">
        <v>10.959419720108944</v>
      </c>
      <c r="C88" s="595">
        <v>0.59550507358513716</v>
      </c>
      <c r="D88" s="2689">
        <v>8</v>
      </c>
      <c r="E88" s="8"/>
      <c r="F88" s="22"/>
      <c r="G88" s="22"/>
      <c r="H88" s="22"/>
      <c r="I88" s="22"/>
      <c r="J88" s="22"/>
      <c r="K88" s="22"/>
      <c r="L88" s="1718"/>
    </row>
    <row r="89" spans="1:13" ht="12.75">
      <c r="A89" s="421">
        <v>43009</v>
      </c>
      <c r="B89" s="595">
        <v>11.541759237672437</v>
      </c>
      <c r="C89" s="595">
        <v>2.0411906639465163</v>
      </c>
      <c r="D89" s="2689">
        <v>8</v>
      </c>
      <c r="E89" s="8"/>
      <c r="F89" s="22"/>
      <c r="G89" s="22"/>
      <c r="H89" s="22"/>
      <c r="I89" s="22"/>
      <c r="J89" s="22"/>
      <c r="K89" s="22"/>
      <c r="L89" s="1718"/>
    </row>
    <row r="90" spans="1:13" ht="12.75">
      <c r="A90" s="421">
        <v>43040</v>
      </c>
      <c r="B90" s="595">
        <v>10.86068594890283</v>
      </c>
      <c r="C90" s="595">
        <v>0.20536617962351661</v>
      </c>
      <c r="D90" s="2689">
        <v>8</v>
      </c>
      <c r="E90" s="8"/>
      <c r="F90" s="22"/>
      <c r="G90" s="22"/>
      <c r="H90" s="22"/>
      <c r="I90" s="22"/>
      <c r="J90" s="22"/>
      <c r="K90" s="22"/>
      <c r="L90" s="1718"/>
    </row>
    <row r="91" spans="1:13" ht="12.75">
      <c r="A91" s="421">
        <v>43070</v>
      </c>
      <c r="B91" s="595">
        <v>11.256915487951725</v>
      </c>
      <c r="C91" s="595">
        <v>1.6346919353264282</v>
      </c>
      <c r="D91" s="2689">
        <v>8</v>
      </c>
      <c r="E91" s="8"/>
      <c r="F91" s="22"/>
      <c r="G91" s="22"/>
      <c r="H91" s="22"/>
      <c r="I91" s="22"/>
      <c r="J91" s="22"/>
      <c r="K91" s="22"/>
      <c r="L91" s="1718"/>
    </row>
    <row r="92" spans="1:13" ht="12.75">
      <c r="A92" s="421">
        <v>43101</v>
      </c>
      <c r="B92" s="595">
        <v>10.423215453953436</v>
      </c>
      <c r="C92" s="595">
        <v>0.2947039341871584</v>
      </c>
      <c r="D92" s="2689">
        <v>8</v>
      </c>
      <c r="E92" s="8"/>
      <c r="F92" s="22"/>
      <c r="G92" s="22"/>
      <c r="H92" s="22"/>
      <c r="I92" s="22"/>
      <c r="J92" s="22"/>
      <c r="K92" s="22"/>
      <c r="L92" s="1718"/>
    </row>
    <row r="93" spans="1:13" ht="12.75">
      <c r="A93" s="421">
        <v>43132</v>
      </c>
      <c r="B93" s="595">
        <v>10.371714530958222</v>
      </c>
      <c r="C93" s="595">
        <v>0.77018124888867878</v>
      </c>
      <c r="D93" s="2689">
        <v>8</v>
      </c>
      <c r="E93" s="8"/>
      <c r="F93" s="22"/>
      <c r="G93" s="22"/>
      <c r="H93" s="22"/>
      <c r="I93" s="22"/>
      <c r="J93" s="22"/>
      <c r="K93" s="22"/>
      <c r="L93" s="1718"/>
    </row>
    <row r="94" spans="1:13" ht="12.75">
      <c r="A94" s="421">
        <v>43160</v>
      </c>
      <c r="B94" s="595">
        <v>9.7049545188142439</v>
      </c>
      <c r="C94" s="595">
        <v>0.19105935218190556</v>
      </c>
      <c r="D94" s="2689">
        <v>8</v>
      </c>
      <c r="E94" s="8"/>
      <c r="F94" s="22"/>
      <c r="G94" s="22"/>
      <c r="H94" s="22"/>
      <c r="I94" s="22"/>
      <c r="J94" s="22"/>
      <c r="K94" s="22"/>
      <c r="L94" s="1718"/>
    </row>
    <row r="95" spans="1:13" ht="12.75">
      <c r="A95" s="421">
        <v>43191</v>
      </c>
      <c r="B95" s="595">
        <v>9.7865191165921974</v>
      </c>
      <c r="C95" s="595">
        <v>0.26442667316659746</v>
      </c>
      <c r="D95" s="2689">
        <v>8</v>
      </c>
      <c r="E95" s="8"/>
      <c r="F95" s="22"/>
      <c r="G95" s="22"/>
      <c r="H95" s="22"/>
      <c r="I95" s="22"/>
      <c r="J95" s="22"/>
      <c r="K95" s="22"/>
      <c r="L95" s="1718"/>
    </row>
    <row r="96" spans="1:13" s="2714" customFormat="1" ht="12.75">
      <c r="A96" s="421">
        <v>43221</v>
      </c>
      <c r="B96" s="595">
        <v>9.8746494768019879</v>
      </c>
      <c r="C96" s="595">
        <v>0.60631883468409487</v>
      </c>
      <c r="D96" s="2689">
        <v>8</v>
      </c>
      <c r="E96" s="2715"/>
      <c r="F96" s="2645"/>
      <c r="G96" s="2645"/>
      <c r="H96" s="2645"/>
      <c r="I96" s="2645"/>
      <c r="J96" s="2645"/>
      <c r="K96" s="2645"/>
      <c r="L96" s="1718"/>
      <c r="M96" s="2715"/>
    </row>
    <row r="97" spans="1:40" s="2714" customFormat="1" ht="12.75">
      <c r="A97" s="421">
        <v>43252</v>
      </c>
      <c r="B97" s="595">
        <v>12.023031</v>
      </c>
      <c r="C97" s="595">
        <v>2.82622675</v>
      </c>
      <c r="D97" s="2689">
        <v>8</v>
      </c>
      <c r="E97" s="2715"/>
      <c r="F97" s="2645"/>
      <c r="G97" s="2645"/>
      <c r="H97" s="2645"/>
      <c r="I97" s="2645"/>
      <c r="J97" s="2645"/>
      <c r="K97" s="2645"/>
      <c r="L97" s="1718"/>
      <c r="M97" s="2715"/>
    </row>
    <row r="98" spans="1:40" ht="12.75">
      <c r="A98" s="421">
        <v>43282</v>
      </c>
      <c r="B98" s="595">
        <v>11.930329</v>
      </c>
      <c r="C98" s="595">
        <v>0.87515107000000003</v>
      </c>
      <c r="D98" s="2689">
        <v>8</v>
      </c>
      <c r="E98" s="1831"/>
      <c r="F98" s="22"/>
      <c r="G98" s="22"/>
      <c r="H98" s="22"/>
      <c r="I98" s="22"/>
      <c r="J98" s="22"/>
      <c r="K98" s="22"/>
      <c r="L98" s="1718"/>
      <c r="M98" s="1831"/>
    </row>
    <row r="99" spans="1:40" s="2714" customFormat="1" ht="12.75">
      <c r="A99" s="421">
        <v>43313</v>
      </c>
      <c r="B99" s="635">
        <v>10.771116140158041</v>
      </c>
      <c r="C99" s="635">
        <v>0.466294426471069</v>
      </c>
      <c r="D99" s="2700">
        <v>8</v>
      </c>
      <c r="E99" s="2715"/>
      <c r="F99" s="2645"/>
      <c r="G99" s="2645"/>
      <c r="H99" s="2645"/>
      <c r="I99" s="2645"/>
      <c r="J99" s="2645"/>
      <c r="K99" s="2645"/>
      <c r="L99" s="1718"/>
      <c r="M99" s="2715"/>
    </row>
    <row r="100" spans="1:40" s="2714" customFormat="1" ht="13.5" thickBot="1">
      <c r="A100" s="421">
        <v>43344</v>
      </c>
      <c r="B100" s="852">
        <v>10.287202342824923</v>
      </c>
      <c r="C100" s="852">
        <v>0.11159127625201938</v>
      </c>
      <c r="D100" s="2696">
        <v>8</v>
      </c>
      <c r="E100" s="2715"/>
      <c r="F100" s="2645"/>
      <c r="G100" s="2645"/>
      <c r="H100" s="2645"/>
      <c r="I100" s="2645"/>
      <c r="J100" s="2645"/>
      <c r="K100" s="2645"/>
      <c r="L100" s="1718"/>
      <c r="M100" s="2715"/>
    </row>
    <row r="101" spans="1:40" ht="13.5" customHeight="1" thickBot="1">
      <c r="A101" s="1719"/>
      <c r="B101" s="161"/>
      <c r="C101" s="161"/>
      <c r="D101" s="161"/>
      <c r="E101" s="162"/>
      <c r="F101" s="162"/>
      <c r="G101" s="162"/>
      <c r="H101" s="162"/>
      <c r="I101" s="162"/>
      <c r="J101" s="162"/>
      <c r="K101" s="162"/>
      <c r="L101" s="1720"/>
      <c r="AK101" s="105"/>
    </row>
    <row r="102" spans="1:40" ht="31.5" customHeight="1" thickBot="1">
      <c r="A102" s="3196" t="s">
        <v>71</v>
      </c>
      <c r="B102" s="3197"/>
      <c r="C102" s="3197"/>
      <c r="D102" s="3198" t="s">
        <v>754</v>
      </c>
      <c r="E102" s="3199"/>
      <c r="F102" s="3199"/>
      <c r="G102" s="3199"/>
      <c r="H102" s="3199"/>
      <c r="I102" s="3199"/>
      <c r="J102" s="3199"/>
      <c r="K102" s="3199"/>
      <c r="L102" s="3200"/>
    </row>
    <row r="103" spans="1:40" ht="31.5" customHeight="1">
      <c r="A103" s="3215" t="s">
        <v>72</v>
      </c>
      <c r="B103" s="3216"/>
      <c r="C103" s="3217"/>
      <c r="D103" s="3221" t="s">
        <v>659</v>
      </c>
      <c r="E103" s="3222"/>
      <c r="F103" s="3222"/>
      <c r="G103" s="3222"/>
      <c r="H103" s="3222"/>
      <c r="I103" s="3222"/>
      <c r="J103" s="3222"/>
      <c r="K103" s="3222"/>
      <c r="L103" s="3223"/>
    </row>
    <row r="104" spans="1:40" ht="31.5" customHeight="1" thickBot="1">
      <c r="A104" s="3218" t="s">
        <v>21</v>
      </c>
      <c r="B104" s="3219"/>
      <c r="C104" s="3220"/>
      <c r="D104" s="3224" t="s">
        <v>838</v>
      </c>
      <c r="E104" s="3225"/>
      <c r="F104" s="3225"/>
      <c r="G104" s="3225"/>
      <c r="H104" s="3225"/>
      <c r="I104" s="3225"/>
      <c r="J104" s="3225"/>
      <c r="K104" s="3225"/>
      <c r="L104" s="3226"/>
    </row>
    <row r="105" spans="1:40" ht="24" customHeight="1" thickTop="1" thickBot="1">
      <c r="A105" s="3227" t="s">
        <v>259</v>
      </c>
      <c r="B105" s="3228"/>
      <c r="C105" s="3229"/>
      <c r="D105" s="3230"/>
      <c r="E105" s="3231"/>
      <c r="F105" s="3231"/>
      <c r="G105" s="3231"/>
      <c r="H105" s="3231"/>
      <c r="I105" s="3231"/>
      <c r="J105" s="3231"/>
      <c r="K105" s="3231"/>
      <c r="L105" s="3232"/>
    </row>
    <row r="106" spans="1:40" ht="15" customHeight="1">
      <c r="A106" s="68"/>
      <c r="B106" s="20"/>
      <c r="C106" s="20"/>
      <c r="D106" s="20"/>
      <c r="E106" s="20"/>
      <c r="F106" s="20"/>
      <c r="G106" s="20"/>
      <c r="H106" s="20"/>
      <c r="I106" s="20"/>
      <c r="J106" s="20"/>
      <c r="K106" s="317"/>
      <c r="L106" s="317"/>
    </row>
    <row r="107" spans="1:40" ht="15" customHeight="1">
      <c r="A107" s="68"/>
      <c r="B107" s="20"/>
      <c r="C107" s="20"/>
      <c r="D107" s="268"/>
      <c r="E107" s="268"/>
      <c r="F107" s="20"/>
      <c r="G107" s="20"/>
      <c r="H107" s="20"/>
      <c r="I107" s="20"/>
      <c r="J107" s="20"/>
      <c r="K107" s="317"/>
      <c r="L107" s="317"/>
    </row>
    <row r="108" spans="1:40" ht="15" customHeight="1">
      <c r="A108" s="68"/>
      <c r="B108" s="20"/>
      <c r="C108" s="20"/>
      <c r="D108" s="20"/>
      <c r="E108" s="20"/>
      <c r="F108" s="20"/>
      <c r="G108" s="20"/>
      <c r="H108" s="20"/>
      <c r="I108" s="20"/>
      <c r="J108" s="20"/>
      <c r="K108" s="317"/>
      <c r="L108" s="317"/>
    </row>
    <row r="109" spans="1:40" s="8" customFormat="1" ht="15" customHeight="1">
      <c r="A109" s="68"/>
      <c r="B109" s="20"/>
      <c r="C109" s="20"/>
      <c r="D109" s="20"/>
      <c r="E109" s="20"/>
      <c r="F109" s="20"/>
      <c r="G109" s="20"/>
      <c r="H109" s="20"/>
      <c r="I109" s="20"/>
      <c r="J109" s="20"/>
      <c r="K109" s="317"/>
      <c r="L109" s="317"/>
      <c r="M109" s="17"/>
      <c r="O109" s="19"/>
      <c r="P109" s="19"/>
      <c r="T109" s="18"/>
      <c r="U109" s="17"/>
      <c r="V109" s="17"/>
      <c r="W109" s="17"/>
      <c r="X109" s="17"/>
      <c r="Z109" s="18"/>
      <c r="AA109" s="17"/>
      <c r="AB109" s="17"/>
      <c r="AC109" s="17"/>
      <c r="AD109" s="17"/>
      <c r="AE109" s="16"/>
      <c r="AF109" s="16"/>
      <c r="AG109" s="16"/>
      <c r="AH109" s="16"/>
      <c r="AI109" s="16"/>
      <c r="AJ109" s="16"/>
      <c r="AK109" s="16"/>
      <c r="AL109" s="16"/>
      <c r="AM109" s="16"/>
      <c r="AN109" s="16"/>
    </row>
    <row r="110" spans="1:40" ht="15" customHeight="1">
      <c r="A110" s="68"/>
      <c r="B110" s="20"/>
      <c r="C110" s="20"/>
      <c r="D110" s="20"/>
      <c r="E110" s="20"/>
      <c r="F110" s="20"/>
      <c r="G110" s="20"/>
      <c r="H110" s="20"/>
      <c r="I110" s="20"/>
      <c r="J110" s="20"/>
      <c r="K110" s="317"/>
      <c r="L110" s="317"/>
    </row>
    <row r="111" spans="1:40" ht="15" customHeight="1">
      <c r="A111" s="68"/>
      <c r="B111" s="20"/>
      <c r="C111" s="20"/>
      <c r="D111" s="20"/>
      <c r="E111" s="20"/>
      <c r="F111" s="20"/>
      <c r="G111" s="20"/>
      <c r="H111" s="20"/>
      <c r="I111" s="20"/>
      <c r="J111" s="20"/>
      <c r="K111" s="317"/>
      <c r="L111" s="317"/>
    </row>
    <row r="112" spans="1:40" ht="15" customHeight="1">
      <c r="A112" s="47"/>
      <c r="B112" s="20"/>
      <c r="C112" s="20"/>
      <c r="D112" s="20"/>
      <c r="E112" s="20"/>
      <c r="F112" s="20"/>
      <c r="G112" s="20"/>
      <c r="H112" s="8"/>
      <c r="I112" s="8"/>
      <c r="J112" s="17"/>
      <c r="K112" s="17"/>
      <c r="L112" s="17"/>
    </row>
  </sheetData>
  <mergeCells count="39">
    <mergeCell ref="A103:C103"/>
    <mergeCell ref="A104:C104"/>
    <mergeCell ref="D103:L103"/>
    <mergeCell ref="D104:L104"/>
    <mergeCell ref="A105:C105"/>
    <mergeCell ref="D105:L105"/>
    <mergeCell ref="D13:L13"/>
    <mergeCell ref="D12:L12"/>
    <mergeCell ref="A102:C102"/>
    <mergeCell ref="D102:L102"/>
    <mergeCell ref="A12:C12"/>
    <mergeCell ref="A13:C13"/>
    <mergeCell ref="A15:D15"/>
    <mergeCell ref="A16:D16"/>
    <mergeCell ref="A17:A18"/>
    <mergeCell ref="B17:B18"/>
    <mergeCell ref="C17:C18"/>
    <mergeCell ref="D17:D18"/>
    <mergeCell ref="A3:C3"/>
    <mergeCell ref="A9:C9"/>
    <mergeCell ref="D2:J2"/>
    <mergeCell ref="A10:C10"/>
    <mergeCell ref="A11:C11"/>
    <mergeCell ref="A1:L1"/>
    <mergeCell ref="D8:L8"/>
    <mergeCell ref="D9:L9"/>
    <mergeCell ref="D10:L10"/>
    <mergeCell ref="D11:L11"/>
    <mergeCell ref="D3:L3"/>
    <mergeCell ref="D4:L4"/>
    <mergeCell ref="D5:L5"/>
    <mergeCell ref="D6:L6"/>
    <mergeCell ref="A4:C4"/>
    <mergeCell ref="A5:C5"/>
    <mergeCell ref="A6:C6"/>
    <mergeCell ref="A7:C7"/>
    <mergeCell ref="A8:C8"/>
    <mergeCell ref="K2:L2"/>
    <mergeCell ref="A2:C2"/>
  </mergeCells>
  <printOptions horizontalCentered="1" verticalCentered="1"/>
  <pageMargins left="0.25" right="0.25" top="0.75" bottom="0.75" header="0.3" footer="0.3"/>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3" tint="0.39997558519241921"/>
  </sheetPr>
  <dimension ref="A1:AQ110"/>
  <sheetViews>
    <sheetView showGridLines="0" view="pageBreakPreview" topLeftCell="A17" zoomScaleNormal="100" zoomScaleSheetLayoutView="100" workbookViewId="0">
      <selection activeCell="O93" sqref="O93"/>
    </sheetView>
  </sheetViews>
  <sheetFormatPr baseColWidth="10" defaultColWidth="12" defaultRowHeight="15" customHeight="1"/>
  <cols>
    <col min="1" max="1" width="8.83203125" style="6" customWidth="1"/>
    <col min="2" max="2" width="9.6640625" style="6" customWidth="1"/>
    <col min="3" max="3" width="11" style="6" customWidth="1"/>
    <col min="4" max="4" width="19" style="6" customWidth="1"/>
    <col min="5" max="5" width="11.33203125" style="6" customWidth="1"/>
    <col min="6" max="6" width="10.83203125" style="6" customWidth="1"/>
    <col min="7" max="7" width="10.5" style="6" customWidth="1"/>
    <col min="8" max="8" width="10.83203125" style="6" customWidth="1"/>
    <col min="9" max="9" width="11.33203125" style="6" customWidth="1"/>
    <col min="10" max="10" width="14.1640625" style="8" customWidth="1"/>
    <col min="11" max="11" width="8" style="6" customWidth="1"/>
    <col min="12" max="12" width="10" style="6" customWidth="1"/>
    <col min="13" max="13" width="12" style="8"/>
    <col min="14" max="16384" width="12" style="6"/>
  </cols>
  <sheetData>
    <row r="1" spans="1:20" ht="24" customHeight="1" thickBot="1">
      <c r="A1" s="3173" t="s">
        <v>148</v>
      </c>
      <c r="B1" s="3174"/>
      <c r="C1" s="3174"/>
      <c r="D1" s="3174"/>
      <c r="E1" s="3174"/>
      <c r="F1" s="3174"/>
      <c r="G1" s="3174"/>
      <c r="H1" s="3174"/>
      <c r="I1" s="3174"/>
      <c r="J1" s="3174"/>
      <c r="K1" s="3174"/>
      <c r="L1" s="3175"/>
    </row>
    <row r="2" spans="1:20" ht="12">
      <c r="A2" s="3196" t="s">
        <v>58</v>
      </c>
      <c r="B2" s="3197"/>
      <c r="C2" s="3197"/>
      <c r="D2" s="3242" t="s">
        <v>173</v>
      </c>
      <c r="E2" s="3243"/>
      <c r="F2" s="3243"/>
      <c r="G2" s="3243"/>
      <c r="H2" s="3243"/>
      <c r="I2" s="3243"/>
      <c r="J2" s="3244"/>
      <c r="K2" s="3245" t="s">
        <v>266</v>
      </c>
      <c r="L2" s="3246"/>
    </row>
    <row r="3" spans="1:20" ht="36" customHeight="1">
      <c r="A3" s="3215" t="s">
        <v>59</v>
      </c>
      <c r="B3" s="3216"/>
      <c r="C3" s="3216"/>
      <c r="D3" s="3233" t="s">
        <v>74</v>
      </c>
      <c r="E3" s="3234"/>
      <c r="F3" s="3234"/>
      <c r="G3" s="3234"/>
      <c r="H3" s="3234"/>
      <c r="I3" s="3234"/>
      <c r="J3" s="3234"/>
      <c r="K3" s="3234"/>
      <c r="L3" s="3235"/>
    </row>
    <row r="4" spans="1:20" ht="12">
      <c r="A4" s="3215" t="s">
        <v>147</v>
      </c>
      <c r="B4" s="3216"/>
      <c r="C4" s="3216"/>
      <c r="D4" s="3233" t="s">
        <v>146</v>
      </c>
      <c r="E4" s="3234"/>
      <c r="F4" s="3234"/>
      <c r="G4" s="3234"/>
      <c r="H4" s="3234"/>
      <c r="I4" s="3234"/>
      <c r="J4" s="3234"/>
      <c r="K4" s="3234"/>
      <c r="L4" s="3235"/>
    </row>
    <row r="5" spans="1:20" ht="24" customHeight="1">
      <c r="A5" s="3215" t="s">
        <v>8</v>
      </c>
      <c r="B5" s="3216"/>
      <c r="C5" s="3216"/>
      <c r="D5" s="3233" t="s">
        <v>149</v>
      </c>
      <c r="E5" s="3234"/>
      <c r="F5" s="3234"/>
      <c r="G5" s="3234"/>
      <c r="H5" s="3234"/>
      <c r="I5" s="3234"/>
      <c r="J5" s="3234"/>
      <c r="K5" s="3234"/>
      <c r="L5" s="3235"/>
    </row>
    <row r="6" spans="1:20" ht="24" customHeight="1">
      <c r="A6" s="3215" t="s">
        <v>61</v>
      </c>
      <c r="B6" s="3216"/>
      <c r="C6" s="3216"/>
      <c r="D6" s="3233" t="s">
        <v>172</v>
      </c>
      <c r="E6" s="3234"/>
      <c r="F6" s="3234"/>
      <c r="G6" s="3234"/>
      <c r="H6" s="3234"/>
      <c r="I6" s="3234"/>
      <c r="J6" s="3234"/>
      <c r="K6" s="3234"/>
      <c r="L6" s="3235"/>
    </row>
    <row r="7" spans="1:20" ht="44.25" customHeight="1">
      <c r="A7" s="3215" t="s">
        <v>62</v>
      </c>
      <c r="B7" s="3216"/>
      <c r="C7" s="3216"/>
      <c r="D7" s="3236"/>
      <c r="E7" s="3237"/>
      <c r="F7" s="3237"/>
      <c r="G7" s="3237"/>
      <c r="H7" s="3237"/>
      <c r="I7" s="3237"/>
      <c r="J7" s="3237"/>
      <c r="K7" s="3237"/>
      <c r="L7" s="3238"/>
      <c r="T7" s="38"/>
    </row>
    <row r="8" spans="1:20" ht="60" customHeight="1">
      <c r="A8" s="3215" t="s">
        <v>63</v>
      </c>
      <c r="B8" s="3216"/>
      <c r="C8" s="3216"/>
      <c r="D8" s="3239" t="s">
        <v>424</v>
      </c>
      <c r="E8" s="3240"/>
      <c r="F8" s="3240"/>
      <c r="G8" s="3240"/>
      <c r="H8" s="3240"/>
      <c r="I8" s="3240"/>
      <c r="J8" s="3240"/>
      <c r="K8" s="3240"/>
      <c r="L8" s="3241"/>
    </row>
    <row r="9" spans="1:20" ht="12">
      <c r="A9" s="3215" t="s">
        <v>65</v>
      </c>
      <c r="B9" s="3216"/>
      <c r="C9" s="3216"/>
      <c r="D9" s="3233" t="s">
        <v>15</v>
      </c>
      <c r="E9" s="3234"/>
      <c r="F9" s="3234"/>
      <c r="G9" s="3234"/>
      <c r="H9" s="3234"/>
      <c r="I9" s="3234"/>
      <c r="J9" s="3234"/>
      <c r="K9" s="3234"/>
      <c r="L9" s="3235"/>
    </row>
    <row r="10" spans="1:20" s="8" customFormat="1" ht="12">
      <c r="A10" s="3215" t="s">
        <v>9</v>
      </c>
      <c r="B10" s="3216"/>
      <c r="C10" s="3216"/>
      <c r="D10" s="3233" t="s">
        <v>698</v>
      </c>
      <c r="E10" s="3234"/>
      <c r="F10" s="3234"/>
      <c r="G10" s="3234"/>
      <c r="H10" s="3234"/>
      <c r="I10" s="3234"/>
      <c r="J10" s="3234"/>
      <c r="K10" s="3234"/>
      <c r="L10" s="3235"/>
    </row>
    <row r="11" spans="1:20" ht="48" customHeight="1">
      <c r="A11" s="3215" t="s">
        <v>66</v>
      </c>
      <c r="B11" s="3216"/>
      <c r="C11" s="3216"/>
      <c r="D11" s="3256" t="s">
        <v>697</v>
      </c>
      <c r="E11" s="3257"/>
      <c r="F11" s="3257"/>
      <c r="G11" s="3257"/>
      <c r="H11" s="3257"/>
      <c r="I11" s="3257"/>
      <c r="J11" s="3257"/>
      <c r="K11" s="3257"/>
      <c r="L11" s="3258"/>
    </row>
    <row r="12" spans="1:20" ht="12">
      <c r="A12" s="3215" t="s">
        <v>67</v>
      </c>
      <c r="B12" s="3216"/>
      <c r="C12" s="3216"/>
      <c r="D12" s="3233" t="s">
        <v>162</v>
      </c>
      <c r="E12" s="3234"/>
      <c r="F12" s="3234"/>
      <c r="G12" s="3234"/>
      <c r="H12" s="3234"/>
      <c r="I12" s="3234"/>
      <c r="J12" s="3234"/>
      <c r="K12" s="3234"/>
      <c r="L12" s="3235"/>
    </row>
    <row r="13" spans="1:20" ht="12.75" thickBot="1">
      <c r="A13" s="3227" t="s">
        <v>68</v>
      </c>
      <c r="B13" s="3228"/>
      <c r="C13" s="3228"/>
      <c r="D13" s="3259" t="s">
        <v>784</v>
      </c>
      <c r="E13" s="3117"/>
      <c r="F13" s="3117"/>
      <c r="G13" s="3117"/>
      <c r="H13" s="3117"/>
      <c r="I13" s="3117"/>
      <c r="J13" s="3117"/>
      <c r="K13" s="3117"/>
      <c r="L13" s="3118"/>
    </row>
    <row r="14" spans="1:20" s="8" customFormat="1" ht="8.25" customHeight="1" thickBot="1">
      <c r="A14" s="1744"/>
      <c r="B14" s="163"/>
      <c r="C14" s="163"/>
      <c r="D14" s="163"/>
      <c r="E14" s="113"/>
      <c r="F14" s="113"/>
      <c r="G14" s="113"/>
      <c r="H14" s="113"/>
      <c r="I14" s="113"/>
      <c r="J14" s="113"/>
      <c r="K14" s="113"/>
      <c r="L14" s="1745"/>
    </row>
    <row r="15" spans="1:20">
      <c r="A15" s="3261" t="s">
        <v>69</v>
      </c>
      <c r="B15" s="3262"/>
      <c r="C15" s="3262"/>
      <c r="D15" s="3263"/>
      <c r="E15" s="22"/>
      <c r="F15" s="22"/>
      <c r="G15" s="22"/>
      <c r="H15" s="22"/>
      <c r="I15" s="22"/>
      <c r="J15" s="22"/>
      <c r="K15" s="22"/>
      <c r="L15" s="1718"/>
    </row>
    <row r="16" spans="1:20" thickBot="1">
      <c r="A16" s="3206" t="s">
        <v>75</v>
      </c>
      <c r="B16" s="3207"/>
      <c r="C16" s="3207"/>
      <c r="D16" s="3208"/>
      <c r="E16" s="22"/>
      <c r="F16" s="22"/>
      <c r="G16" s="22"/>
      <c r="H16" s="22"/>
      <c r="I16" s="22"/>
      <c r="J16" s="22"/>
      <c r="K16" s="22"/>
      <c r="L16" s="1718"/>
      <c r="N16" s="260"/>
    </row>
    <row r="17" spans="1:14" ht="12" customHeight="1">
      <c r="A17" s="3209" t="s">
        <v>70</v>
      </c>
      <c r="B17" s="3170" t="s">
        <v>262</v>
      </c>
      <c r="C17" s="3170" t="s">
        <v>222</v>
      </c>
      <c r="D17" s="3172" t="s">
        <v>591</v>
      </c>
      <c r="E17" s="22"/>
      <c r="F17" s="22"/>
      <c r="G17" s="22"/>
      <c r="H17" s="22"/>
      <c r="I17" s="22"/>
      <c r="J17" s="22"/>
      <c r="K17" s="22"/>
      <c r="L17" s="1718"/>
      <c r="N17" s="261"/>
    </row>
    <row r="18" spans="1:14" ht="24" customHeight="1" thickBot="1">
      <c r="A18" s="3210"/>
      <c r="B18" s="3264"/>
      <c r="C18" s="3264"/>
      <c r="D18" s="3266"/>
      <c r="E18" s="22"/>
      <c r="F18" s="22"/>
      <c r="G18" s="22"/>
      <c r="H18" s="22"/>
      <c r="I18" s="22"/>
      <c r="J18" s="22"/>
      <c r="K18" s="22"/>
      <c r="L18" s="1718"/>
      <c r="N18" s="261"/>
    </row>
    <row r="19" spans="1:14" ht="14.25" hidden="1">
      <c r="A19" s="2680">
        <v>40878</v>
      </c>
      <c r="B19" s="2681">
        <v>13.49</v>
      </c>
      <c r="C19" s="2681"/>
      <c r="D19" s="2682"/>
      <c r="E19" s="22"/>
      <c r="F19" s="22"/>
      <c r="G19" s="22"/>
      <c r="H19" s="22"/>
      <c r="I19" s="22"/>
      <c r="J19" s="22"/>
      <c r="K19" s="22"/>
      <c r="L19" s="1718"/>
      <c r="N19" s="260"/>
    </row>
    <row r="20" spans="1:14" ht="14.25" hidden="1">
      <c r="A20" s="2656">
        <v>40909</v>
      </c>
      <c r="B20" s="2657">
        <v>12.82</v>
      </c>
      <c r="C20" s="2657"/>
      <c r="D20" s="2658"/>
      <c r="E20" s="22"/>
      <c r="F20" s="22"/>
      <c r="G20" s="22"/>
      <c r="H20" s="22"/>
      <c r="I20" s="22"/>
      <c r="J20" s="22"/>
      <c r="K20" s="22"/>
      <c r="L20" s="1718"/>
      <c r="N20" s="260"/>
    </row>
    <row r="21" spans="1:14" ht="14.25" hidden="1">
      <c r="A21" s="2659">
        <v>40940</v>
      </c>
      <c r="B21" s="2660">
        <v>13.47</v>
      </c>
      <c r="C21" s="2660"/>
      <c r="D21" s="2661"/>
      <c r="E21" s="22"/>
      <c r="F21" s="22"/>
      <c r="G21" s="22"/>
      <c r="H21" s="22"/>
      <c r="I21" s="22"/>
      <c r="J21" s="22"/>
      <c r="K21" s="22"/>
      <c r="L21" s="1718"/>
      <c r="N21" s="260"/>
    </row>
    <row r="22" spans="1:14" ht="14.25" hidden="1">
      <c r="A22" s="2659">
        <v>40969</v>
      </c>
      <c r="B22" s="2660">
        <v>13.44</v>
      </c>
      <c r="C22" s="2660"/>
      <c r="D22" s="2661"/>
      <c r="E22" s="22"/>
      <c r="F22" s="22"/>
      <c r="G22" s="22"/>
      <c r="H22" s="22"/>
      <c r="I22" s="22"/>
      <c r="J22" s="22"/>
      <c r="K22" s="22"/>
      <c r="L22" s="1718"/>
      <c r="N22" s="260"/>
    </row>
    <row r="23" spans="1:14" ht="14.25" hidden="1">
      <c r="A23" s="2659">
        <v>41000</v>
      </c>
      <c r="B23" s="2660">
        <v>15.22</v>
      </c>
      <c r="C23" s="2660"/>
      <c r="D23" s="2661"/>
      <c r="E23" s="22"/>
      <c r="F23" s="22"/>
      <c r="G23" s="22"/>
      <c r="H23" s="22"/>
      <c r="I23" s="22"/>
      <c r="J23" s="22"/>
      <c r="K23" s="22"/>
      <c r="L23" s="1718"/>
      <c r="N23" s="260"/>
    </row>
    <row r="24" spans="1:14" ht="14.25" hidden="1">
      <c r="A24" s="2659">
        <v>41030</v>
      </c>
      <c r="B24" s="2660">
        <v>14.86</v>
      </c>
      <c r="C24" s="2660"/>
      <c r="D24" s="2661"/>
      <c r="E24" s="22"/>
      <c r="F24" s="22"/>
      <c r="G24" s="22"/>
      <c r="H24" s="22"/>
      <c r="I24" s="22"/>
      <c r="J24" s="22"/>
      <c r="K24" s="22"/>
      <c r="L24" s="1718"/>
      <c r="N24" s="260"/>
    </row>
    <row r="25" spans="1:14" ht="14.25" hidden="1">
      <c r="A25" s="2659">
        <v>41061</v>
      </c>
      <c r="B25" s="2660">
        <v>14.68</v>
      </c>
      <c r="C25" s="2660"/>
      <c r="D25" s="2661"/>
      <c r="E25" s="22"/>
      <c r="F25" s="22"/>
      <c r="G25" s="22"/>
      <c r="H25" s="22"/>
      <c r="I25" s="22"/>
      <c r="J25" s="22"/>
      <c r="K25" s="22"/>
      <c r="L25" s="1718"/>
      <c r="N25" s="260"/>
    </row>
    <row r="26" spans="1:14" ht="14.25" hidden="1">
      <c r="A26" s="218">
        <v>41091</v>
      </c>
      <c r="B26" s="2660">
        <v>15.24</v>
      </c>
      <c r="C26" s="2660"/>
      <c r="D26" s="2664"/>
      <c r="E26" s="22"/>
      <c r="F26" s="22"/>
      <c r="G26" s="22"/>
      <c r="H26" s="22"/>
      <c r="I26" s="22"/>
      <c r="J26" s="22"/>
      <c r="K26" s="22"/>
      <c r="L26" s="1718"/>
      <c r="N26" s="260"/>
    </row>
    <row r="27" spans="1:14" ht="14.25" hidden="1">
      <c r="A27" s="218">
        <v>41122</v>
      </c>
      <c r="B27" s="2660">
        <v>15.75</v>
      </c>
      <c r="C27" s="2660"/>
      <c r="D27" s="2664"/>
      <c r="E27" s="22"/>
      <c r="F27" s="22"/>
      <c r="G27" s="22"/>
      <c r="H27" s="22"/>
      <c r="I27" s="22"/>
      <c r="J27" s="22"/>
      <c r="K27" s="22"/>
      <c r="L27" s="1718"/>
      <c r="N27" s="260"/>
    </row>
    <row r="28" spans="1:14" ht="14.25" hidden="1">
      <c r="A28" s="218">
        <v>41153</v>
      </c>
      <c r="B28" s="2660">
        <v>14.69</v>
      </c>
      <c r="C28" s="2660"/>
      <c r="D28" s="2664"/>
      <c r="E28" s="22"/>
      <c r="F28" s="22"/>
      <c r="G28" s="22"/>
      <c r="H28" s="22"/>
      <c r="I28" s="22"/>
      <c r="J28" s="22"/>
      <c r="K28" s="22"/>
      <c r="L28" s="1718"/>
      <c r="N28" s="260"/>
    </row>
    <row r="29" spans="1:14" ht="14.25" hidden="1">
      <c r="A29" s="218">
        <v>41183</v>
      </c>
      <c r="B29" s="2660">
        <v>15.94</v>
      </c>
      <c r="C29" s="2660"/>
      <c r="D29" s="2664"/>
      <c r="E29" s="22"/>
      <c r="F29" s="22"/>
      <c r="G29" s="22"/>
      <c r="H29" s="22"/>
      <c r="I29" s="22"/>
      <c r="J29" s="22"/>
      <c r="K29" s="22"/>
      <c r="L29" s="1718"/>
      <c r="N29" s="260"/>
    </row>
    <row r="30" spans="1:14" ht="14.25" hidden="1">
      <c r="A30" s="218">
        <v>41214</v>
      </c>
      <c r="B30" s="2660">
        <v>16.579999999999998</v>
      </c>
      <c r="C30" s="2660"/>
      <c r="D30" s="2664"/>
      <c r="E30" s="22"/>
      <c r="F30" s="22"/>
      <c r="G30" s="22"/>
      <c r="H30" s="22"/>
      <c r="I30" s="22"/>
      <c r="J30" s="22"/>
      <c r="K30" s="22"/>
      <c r="L30" s="1718"/>
      <c r="N30" s="260"/>
    </row>
    <row r="31" spans="1:14" hidden="1" thickBot="1">
      <c r="A31" s="278">
        <v>41244</v>
      </c>
      <c r="B31" s="2665">
        <v>16.579999999999998</v>
      </c>
      <c r="C31" s="2665"/>
      <c r="D31" s="217"/>
      <c r="E31" s="22"/>
      <c r="F31" s="22"/>
      <c r="G31" s="22"/>
      <c r="H31" s="22"/>
      <c r="I31" s="22"/>
      <c r="J31" s="22"/>
      <c r="K31" s="22"/>
      <c r="L31" s="1718"/>
      <c r="N31" s="260"/>
    </row>
    <row r="32" spans="1:14" hidden="1">
      <c r="A32" s="279">
        <v>41275</v>
      </c>
      <c r="B32" s="2657">
        <v>18.354495344601769</v>
      </c>
      <c r="C32" s="280">
        <v>2.7291666666666665</v>
      </c>
      <c r="D32" s="2673">
        <v>9</v>
      </c>
      <c r="E32" s="22"/>
      <c r="F32" s="22"/>
      <c r="G32" s="22"/>
      <c r="H32" s="22"/>
      <c r="I32" s="22"/>
      <c r="J32" s="22"/>
      <c r="K32" s="22"/>
      <c r="L32" s="1718"/>
      <c r="N32" s="260"/>
    </row>
    <row r="33" spans="1:14" hidden="1">
      <c r="A33" s="218">
        <v>41306</v>
      </c>
      <c r="B33" s="2660">
        <v>18.547502821662309</v>
      </c>
      <c r="C33" s="281">
        <v>1.977155172413793</v>
      </c>
      <c r="D33" s="2664">
        <v>9</v>
      </c>
      <c r="E33" s="22"/>
      <c r="F33" s="22"/>
      <c r="G33" s="22"/>
      <c r="H33" s="22"/>
      <c r="I33" s="22"/>
      <c r="J33" s="22"/>
      <c r="K33" s="22"/>
      <c r="L33" s="1718"/>
      <c r="N33" s="260"/>
    </row>
    <row r="34" spans="1:14" ht="14.25" hidden="1">
      <c r="A34" s="218">
        <v>41334</v>
      </c>
      <c r="B34" s="2660">
        <v>16.338513475886572</v>
      </c>
      <c r="C34" s="2660">
        <v>1.7392241379310345</v>
      </c>
      <c r="D34" s="2664">
        <v>9</v>
      </c>
      <c r="E34" s="22"/>
      <c r="F34" s="22"/>
      <c r="G34" s="22"/>
      <c r="H34" s="22"/>
      <c r="I34" s="22"/>
      <c r="J34" s="22"/>
      <c r="K34" s="22"/>
      <c r="L34" s="1718"/>
      <c r="N34" s="262"/>
    </row>
    <row r="35" spans="1:14" ht="14.25" hidden="1">
      <c r="A35" s="218">
        <v>41365</v>
      </c>
      <c r="B35" s="2660">
        <v>16.12</v>
      </c>
      <c r="C35" s="2660">
        <v>1.298132183908046</v>
      </c>
      <c r="D35" s="2664">
        <v>9</v>
      </c>
      <c r="E35" s="22"/>
      <c r="F35" s="22"/>
      <c r="G35" s="22"/>
      <c r="H35" s="22"/>
      <c r="I35" s="22"/>
      <c r="J35" s="22"/>
      <c r="K35" s="22"/>
      <c r="L35" s="1718"/>
      <c r="N35" s="260"/>
    </row>
    <row r="36" spans="1:14" ht="14.25" hidden="1">
      <c r="A36" s="218">
        <v>41395</v>
      </c>
      <c r="B36" s="2660">
        <v>13.53</v>
      </c>
      <c r="C36" s="2660">
        <v>1.0142241379310344</v>
      </c>
      <c r="D36" s="2664">
        <v>9</v>
      </c>
      <c r="E36" s="22"/>
      <c r="F36" s="22"/>
      <c r="G36" s="22"/>
      <c r="H36" s="22"/>
      <c r="I36" s="22"/>
      <c r="J36" s="22"/>
      <c r="K36" s="22"/>
      <c r="L36" s="1718"/>
      <c r="N36" s="260"/>
    </row>
    <row r="37" spans="1:14" ht="12.75" hidden="1">
      <c r="A37" s="218">
        <v>41426</v>
      </c>
      <c r="B37" s="2660">
        <v>13.53</v>
      </c>
      <c r="C37" s="2660">
        <v>1.3853448275862068</v>
      </c>
      <c r="D37" s="2664">
        <v>9</v>
      </c>
      <c r="E37" s="22"/>
      <c r="F37" s="22"/>
      <c r="G37" s="22"/>
      <c r="H37" s="22"/>
      <c r="I37" s="22"/>
      <c r="J37" s="22"/>
      <c r="K37" s="22"/>
      <c r="L37" s="1718"/>
    </row>
    <row r="38" spans="1:14" ht="12.75" hidden="1">
      <c r="A38" s="218">
        <v>41456</v>
      </c>
      <c r="B38" s="2660">
        <v>14.41</v>
      </c>
      <c r="C38" s="2660">
        <v>0.8793103448275863</v>
      </c>
      <c r="D38" s="2664">
        <v>9</v>
      </c>
      <c r="E38" s="22"/>
      <c r="F38" s="22"/>
      <c r="G38" s="22"/>
      <c r="H38" s="22"/>
      <c r="I38" s="22"/>
      <c r="J38" s="22"/>
      <c r="K38" s="22"/>
      <c r="L38" s="1718"/>
    </row>
    <row r="39" spans="1:14" ht="12.75" hidden="1">
      <c r="A39" s="218">
        <v>41487</v>
      </c>
      <c r="B39" s="2660">
        <v>14.24</v>
      </c>
      <c r="C39" s="2660">
        <v>0.85402298850574709</v>
      </c>
      <c r="D39" s="2664">
        <v>9</v>
      </c>
      <c r="E39" s="22"/>
      <c r="F39" s="22"/>
      <c r="G39" s="22"/>
      <c r="H39" s="22"/>
      <c r="I39" s="22"/>
      <c r="J39" s="22"/>
      <c r="K39" s="22"/>
      <c r="L39" s="1718"/>
    </row>
    <row r="40" spans="1:14" ht="12.75" hidden="1">
      <c r="A40" s="218">
        <v>41518</v>
      </c>
      <c r="B40" s="2660">
        <v>14.53</v>
      </c>
      <c r="C40" s="2660">
        <v>1.6725574712643678</v>
      </c>
      <c r="D40" s="2664">
        <v>9</v>
      </c>
      <c r="E40" s="1831"/>
      <c r="F40" s="22"/>
      <c r="G40" s="22"/>
      <c r="H40" s="22"/>
      <c r="I40" s="22"/>
      <c r="J40" s="22"/>
      <c r="K40" s="22"/>
      <c r="L40" s="1718"/>
    </row>
    <row r="41" spans="1:14" ht="12.75" hidden="1">
      <c r="A41" s="218">
        <v>41548</v>
      </c>
      <c r="B41" s="2660">
        <v>14.95</v>
      </c>
      <c r="C41" s="2660">
        <v>0.92873563218390798</v>
      </c>
      <c r="D41" s="2664">
        <v>9</v>
      </c>
      <c r="E41" s="1831"/>
      <c r="F41" s="22"/>
      <c r="G41" s="22"/>
      <c r="H41" s="22"/>
      <c r="I41" s="22"/>
      <c r="J41" s="22"/>
      <c r="K41" s="22"/>
      <c r="L41" s="1718"/>
    </row>
    <row r="42" spans="1:14" ht="12.75" hidden="1">
      <c r="A42" s="218">
        <v>41579</v>
      </c>
      <c r="B42" s="2660">
        <v>14.9</v>
      </c>
      <c r="C42" s="2660">
        <v>0.35258620689655173</v>
      </c>
      <c r="D42" s="2664">
        <v>9</v>
      </c>
      <c r="E42" s="1831"/>
      <c r="F42" s="22"/>
      <c r="G42" s="22"/>
      <c r="H42" s="22"/>
      <c r="I42" s="22"/>
      <c r="J42" s="22"/>
      <c r="K42" s="22"/>
      <c r="L42" s="1718"/>
    </row>
    <row r="43" spans="1:14" ht="13.5" hidden="1" thickBot="1">
      <c r="A43" s="278">
        <v>41609</v>
      </c>
      <c r="B43" s="2665">
        <v>15.29</v>
      </c>
      <c r="C43" s="2665">
        <v>0.46163793103448275</v>
      </c>
      <c r="D43" s="217">
        <v>9</v>
      </c>
      <c r="E43" s="1831"/>
      <c r="F43" s="22"/>
      <c r="G43" s="22"/>
      <c r="H43" s="22"/>
      <c r="I43" s="22"/>
      <c r="J43" s="22"/>
      <c r="K43" s="22"/>
      <c r="L43" s="1718"/>
    </row>
    <row r="44" spans="1:14" ht="12.75" hidden="1">
      <c r="A44" s="279">
        <v>41640</v>
      </c>
      <c r="B44" s="2657">
        <v>14.52</v>
      </c>
      <c r="C44" s="2657">
        <v>1.9552961600000001</v>
      </c>
      <c r="D44" s="2673">
        <v>11</v>
      </c>
      <c r="E44" s="1831"/>
      <c r="F44" s="22"/>
      <c r="G44" s="22"/>
      <c r="H44" s="22"/>
      <c r="I44" s="22"/>
      <c r="J44" s="22"/>
      <c r="K44" s="22"/>
      <c r="L44" s="1718"/>
    </row>
    <row r="45" spans="1:14" ht="12.75" hidden="1">
      <c r="A45" s="218">
        <v>41671</v>
      </c>
      <c r="B45" s="2663">
        <v>13.06</v>
      </c>
      <c r="C45" s="2663">
        <v>0.52166893999999997</v>
      </c>
      <c r="D45" s="2666">
        <v>11</v>
      </c>
      <c r="E45" s="1831"/>
      <c r="F45" s="22"/>
      <c r="G45" s="22"/>
      <c r="H45" s="22"/>
      <c r="I45" s="22"/>
      <c r="J45" s="22"/>
      <c r="K45" s="22"/>
      <c r="L45" s="1718"/>
    </row>
    <row r="46" spans="1:14" ht="12.75" hidden="1">
      <c r="A46" s="360">
        <v>41699</v>
      </c>
      <c r="B46" s="2663">
        <v>11.58</v>
      </c>
      <c r="C46" s="2663">
        <v>0.25543275999999998</v>
      </c>
      <c r="D46" s="2666">
        <v>11</v>
      </c>
      <c r="E46" s="1831"/>
      <c r="F46" s="22"/>
      <c r="G46" s="22"/>
      <c r="H46" s="22"/>
      <c r="I46" s="22"/>
      <c r="J46" s="22"/>
      <c r="K46" s="22"/>
      <c r="L46" s="1718"/>
    </row>
    <row r="47" spans="1:14" ht="12.75" hidden="1">
      <c r="A47" s="397">
        <v>41730</v>
      </c>
      <c r="B47" s="2681">
        <v>10.71</v>
      </c>
      <c r="C47" s="2681">
        <v>0.42791506000000001</v>
      </c>
      <c r="D47" s="2698">
        <v>11</v>
      </c>
      <c r="E47" s="1831"/>
      <c r="F47" s="22"/>
      <c r="G47" s="22"/>
      <c r="H47" s="22"/>
      <c r="I47" s="22"/>
      <c r="J47" s="22"/>
      <c r="K47" s="22"/>
      <c r="L47" s="1718"/>
    </row>
    <row r="48" spans="1:14" ht="12.75" hidden="1">
      <c r="A48" s="397">
        <v>41760</v>
      </c>
      <c r="B48" s="2681">
        <v>11.77</v>
      </c>
      <c r="C48" s="2681">
        <v>2.0732646199999998</v>
      </c>
      <c r="D48" s="2698">
        <v>11</v>
      </c>
      <c r="E48" s="1831"/>
      <c r="F48" s="22"/>
      <c r="G48" s="22"/>
      <c r="H48" s="22"/>
      <c r="I48" s="22"/>
      <c r="J48" s="22"/>
      <c r="K48" s="22"/>
      <c r="L48" s="1718"/>
    </row>
    <row r="49" spans="1:16" ht="12.75" hidden="1">
      <c r="A49" s="368">
        <v>41791</v>
      </c>
      <c r="B49" s="2693">
        <v>10.66</v>
      </c>
      <c r="C49" s="2693">
        <v>0.27579784000000002</v>
      </c>
      <c r="D49" s="2694">
        <v>11</v>
      </c>
      <c r="E49" s="1831"/>
      <c r="F49" s="22"/>
      <c r="G49" s="22"/>
      <c r="H49" s="22"/>
      <c r="I49" s="22"/>
      <c r="J49" s="22"/>
      <c r="K49" s="22"/>
      <c r="L49" s="1718"/>
    </row>
    <row r="50" spans="1:16" ht="12.75" hidden="1">
      <c r="A50" s="2701">
        <v>41821</v>
      </c>
      <c r="B50" s="2699">
        <v>10.06</v>
      </c>
      <c r="C50" s="2699">
        <v>0.28473861</v>
      </c>
      <c r="D50" s="2700">
        <v>11</v>
      </c>
      <c r="E50" s="1831"/>
      <c r="F50" s="22"/>
      <c r="G50" s="22"/>
      <c r="H50" s="22"/>
      <c r="I50" s="22"/>
      <c r="J50" s="22"/>
      <c r="K50" s="22"/>
      <c r="L50" s="1718"/>
    </row>
    <row r="51" spans="1:16" ht="12.75" hidden="1">
      <c r="A51" s="368">
        <v>41852</v>
      </c>
      <c r="B51" s="2693">
        <v>10.7</v>
      </c>
      <c r="C51" s="2693">
        <v>1.4902520800000001</v>
      </c>
      <c r="D51" s="2694">
        <v>11</v>
      </c>
      <c r="E51" s="1831"/>
      <c r="F51" s="22"/>
      <c r="G51" s="22"/>
      <c r="H51" s="22"/>
      <c r="I51" s="22"/>
      <c r="J51" s="22"/>
      <c r="K51" s="22"/>
      <c r="L51" s="1718"/>
    </row>
    <row r="52" spans="1:16" ht="12.75" hidden="1">
      <c r="A52" s="2695">
        <v>41883</v>
      </c>
      <c r="B52" s="2692">
        <v>9.27</v>
      </c>
      <c r="C52" s="2692">
        <v>0.24065565999999999</v>
      </c>
      <c r="D52" s="2689">
        <v>11</v>
      </c>
      <c r="E52" s="1831"/>
      <c r="F52" s="22"/>
      <c r="G52" s="22"/>
      <c r="H52" s="22"/>
      <c r="I52" s="22"/>
      <c r="J52" s="22"/>
      <c r="K52" s="22"/>
      <c r="L52" s="1718"/>
    </row>
    <row r="53" spans="1:16" ht="12.75" hidden="1">
      <c r="A53" s="2695">
        <v>41913</v>
      </c>
      <c r="B53" s="2692">
        <v>9.6199999999999992</v>
      </c>
      <c r="C53" s="2692">
        <v>2.0900285599999999</v>
      </c>
      <c r="D53" s="2689">
        <v>11</v>
      </c>
      <c r="E53" s="1831"/>
      <c r="F53" s="22"/>
      <c r="G53" s="22"/>
      <c r="H53" s="22"/>
      <c r="I53" s="22"/>
      <c r="J53" s="22"/>
      <c r="K53" s="22"/>
      <c r="L53" s="1718"/>
    </row>
    <row r="54" spans="1:16" ht="12.75" hidden="1">
      <c r="A54" s="2695">
        <v>41944</v>
      </c>
      <c r="B54" s="2692">
        <v>10.78</v>
      </c>
      <c r="C54" s="2692">
        <v>1.16528002</v>
      </c>
      <c r="D54" s="2689">
        <v>11</v>
      </c>
      <c r="E54" s="1831"/>
      <c r="F54" s="22"/>
      <c r="G54" s="22"/>
      <c r="H54" s="22"/>
      <c r="I54" s="22"/>
      <c r="J54" s="22"/>
      <c r="K54" s="22"/>
      <c r="L54" s="1718"/>
    </row>
    <row r="55" spans="1:16" ht="12.75" hidden="1">
      <c r="A55" s="2701">
        <v>41974</v>
      </c>
      <c r="B55" s="2699">
        <v>10.98</v>
      </c>
      <c r="C55" s="2699">
        <v>0.20352664000000001</v>
      </c>
      <c r="D55" s="2700">
        <v>11</v>
      </c>
      <c r="E55" s="1831"/>
      <c r="F55" s="22"/>
      <c r="G55" s="22"/>
      <c r="H55" s="22"/>
      <c r="I55" s="22"/>
      <c r="J55" s="22"/>
      <c r="K55" s="22"/>
      <c r="L55" s="1718"/>
    </row>
    <row r="56" spans="1:16" ht="14.25" hidden="1" customHeight="1">
      <c r="A56" s="368">
        <v>42005</v>
      </c>
      <c r="B56" s="634">
        <v>9.5500000000000007</v>
      </c>
      <c r="C56" s="634">
        <v>0.52047083000000005</v>
      </c>
      <c r="D56" s="2694">
        <v>8</v>
      </c>
      <c r="E56" s="1831"/>
      <c r="F56" s="22"/>
      <c r="G56" s="22"/>
      <c r="H56" s="22"/>
      <c r="I56" s="22"/>
      <c r="J56" s="22"/>
      <c r="K56" s="22"/>
      <c r="L56" s="1718"/>
    </row>
    <row r="57" spans="1:16" ht="12.75" hidden="1">
      <c r="A57" s="2695">
        <v>42036</v>
      </c>
      <c r="B57" s="595">
        <v>9.49</v>
      </c>
      <c r="C57" s="595">
        <v>0.46499488</v>
      </c>
      <c r="D57" s="2689">
        <v>8</v>
      </c>
      <c r="E57" s="1831"/>
      <c r="F57" s="22"/>
      <c r="G57" s="22"/>
      <c r="H57" s="22"/>
      <c r="I57" s="22"/>
      <c r="J57" s="22"/>
      <c r="K57" s="22"/>
      <c r="L57" s="1718"/>
    </row>
    <row r="58" spans="1:16" ht="12.75" hidden="1">
      <c r="A58" s="2695">
        <v>42064</v>
      </c>
      <c r="B58" s="595">
        <v>9.66</v>
      </c>
      <c r="C58" s="595">
        <v>0.41862844999999999</v>
      </c>
      <c r="D58" s="2689">
        <v>8</v>
      </c>
      <c r="E58" s="1831"/>
      <c r="F58" s="22"/>
      <c r="G58" s="22"/>
      <c r="H58" s="22"/>
      <c r="I58" s="22"/>
      <c r="J58" s="22"/>
      <c r="K58" s="22"/>
      <c r="L58" s="1718"/>
    </row>
    <row r="59" spans="1:16" ht="12.75" hidden="1">
      <c r="A59" s="2695">
        <v>42095</v>
      </c>
      <c r="B59" s="595">
        <v>10.54</v>
      </c>
      <c r="C59" s="595">
        <v>1.31617195</v>
      </c>
      <c r="D59" s="2689">
        <v>8</v>
      </c>
      <c r="E59" s="1831"/>
      <c r="F59" s="22"/>
      <c r="G59" s="22"/>
      <c r="H59" s="22"/>
      <c r="I59" s="22"/>
      <c r="J59" s="22"/>
      <c r="K59" s="22"/>
      <c r="L59" s="1718"/>
      <c r="P59" s="459"/>
    </row>
    <row r="60" spans="1:16" ht="12.75" hidden="1">
      <c r="A60" s="2695">
        <v>42125</v>
      </c>
      <c r="B60" s="595">
        <v>10.039999999999999</v>
      </c>
      <c r="C60" s="595">
        <v>1.5694984599999999</v>
      </c>
      <c r="D60" s="2689">
        <v>8</v>
      </c>
      <c r="E60" s="1831"/>
      <c r="F60" s="22"/>
      <c r="G60" s="22"/>
      <c r="H60" s="22"/>
      <c r="I60" s="22"/>
      <c r="J60" s="22"/>
      <c r="K60" s="22"/>
      <c r="L60" s="1718"/>
      <c r="P60" s="459"/>
    </row>
    <row r="61" spans="1:16" ht="12.75" hidden="1">
      <c r="A61" s="2695">
        <v>42156</v>
      </c>
      <c r="B61" s="595">
        <v>11.15</v>
      </c>
      <c r="C61" s="595">
        <v>1.38874104</v>
      </c>
      <c r="D61" s="2689">
        <v>8</v>
      </c>
      <c r="E61" s="1831"/>
      <c r="F61" s="22"/>
      <c r="G61" s="22"/>
      <c r="H61" s="22"/>
      <c r="I61" s="22"/>
      <c r="J61" s="22"/>
      <c r="K61" s="22"/>
      <c r="L61" s="1718"/>
      <c r="P61" s="459"/>
    </row>
    <row r="62" spans="1:16" ht="12.75" hidden="1">
      <c r="A62" s="2695">
        <v>42186</v>
      </c>
      <c r="B62" s="595">
        <v>11.04</v>
      </c>
      <c r="C62" s="595">
        <v>0.16806551</v>
      </c>
      <c r="D62" s="2689">
        <v>8</v>
      </c>
      <c r="E62" s="1831"/>
      <c r="F62" s="22"/>
      <c r="G62" s="22"/>
      <c r="H62" s="22"/>
      <c r="I62" s="22"/>
      <c r="J62" s="22"/>
      <c r="K62" s="22"/>
      <c r="L62" s="1718"/>
      <c r="P62" s="459"/>
    </row>
    <row r="63" spans="1:16" ht="12.75" hidden="1">
      <c r="A63" s="2695">
        <v>42217</v>
      </c>
      <c r="B63" s="595">
        <v>10.63</v>
      </c>
      <c r="C63" s="595">
        <v>1.078992</v>
      </c>
      <c r="D63" s="2689">
        <v>8</v>
      </c>
      <c r="E63" s="1831"/>
      <c r="F63" s="22"/>
      <c r="G63" s="22"/>
      <c r="H63" s="22"/>
      <c r="I63" s="22"/>
      <c r="J63" s="22"/>
      <c r="K63" s="22"/>
      <c r="L63" s="1718"/>
      <c r="P63" s="459"/>
    </row>
    <row r="64" spans="1:16" ht="12.75" hidden="1">
      <c r="A64" s="2695">
        <v>42248</v>
      </c>
      <c r="B64" s="595">
        <v>11.58</v>
      </c>
      <c r="C64" s="595">
        <v>1.1926559999999999</v>
      </c>
      <c r="D64" s="2689">
        <v>8</v>
      </c>
      <c r="E64" s="1831"/>
      <c r="F64" s="22"/>
      <c r="G64" s="22"/>
      <c r="H64" s="22"/>
      <c r="I64" s="22"/>
      <c r="J64" s="22"/>
      <c r="K64" s="22"/>
      <c r="L64" s="1718"/>
      <c r="P64" s="459"/>
    </row>
    <row r="65" spans="1:16" ht="12.75" hidden="1">
      <c r="A65" s="2695">
        <v>42278</v>
      </c>
      <c r="B65" s="595">
        <v>10.24</v>
      </c>
      <c r="C65" s="595">
        <v>0.75477000000000005</v>
      </c>
      <c r="D65" s="2689">
        <v>8</v>
      </c>
      <c r="E65" s="1831"/>
      <c r="F65" s="22"/>
      <c r="G65" s="22"/>
      <c r="H65" s="22"/>
      <c r="I65" s="22"/>
      <c r="J65" s="22"/>
      <c r="K65" s="22"/>
      <c r="L65" s="1718"/>
      <c r="P65" s="459"/>
    </row>
    <row r="66" spans="1:16" ht="12.75" hidden="1">
      <c r="A66" s="2695">
        <v>42309</v>
      </c>
      <c r="B66" s="635">
        <v>9.92</v>
      </c>
      <c r="C66" s="635">
        <v>0.84104400000000001</v>
      </c>
      <c r="D66" s="2689">
        <v>8</v>
      </c>
      <c r="E66" s="1831"/>
      <c r="F66" s="22"/>
      <c r="G66" s="22"/>
      <c r="H66" s="22"/>
      <c r="I66" s="22"/>
      <c r="J66" s="22"/>
      <c r="K66" s="22"/>
      <c r="L66" s="1718"/>
      <c r="P66" s="459"/>
    </row>
    <row r="67" spans="1:16" ht="12.75" hidden="1">
      <c r="A67" s="2695">
        <v>42339</v>
      </c>
      <c r="B67" s="635">
        <v>10.79</v>
      </c>
      <c r="C67" s="635">
        <v>1.07175026</v>
      </c>
      <c r="D67" s="2689">
        <v>8</v>
      </c>
      <c r="E67" s="1831"/>
      <c r="F67" s="22"/>
      <c r="G67" s="22"/>
      <c r="H67" s="22"/>
      <c r="I67" s="22"/>
      <c r="J67" s="22"/>
      <c r="K67" s="22"/>
      <c r="L67" s="1718"/>
      <c r="P67" s="459"/>
    </row>
    <row r="68" spans="1:16" ht="12.75" hidden="1">
      <c r="A68" s="2701">
        <v>42370</v>
      </c>
      <c r="B68" s="635">
        <v>10.718831562947798</v>
      </c>
      <c r="C68" s="635">
        <v>0.45351900000000001</v>
      </c>
      <c r="D68" s="2700">
        <v>4</v>
      </c>
      <c r="E68" s="1831"/>
      <c r="F68" s="22"/>
      <c r="G68" s="22"/>
      <c r="H68" s="22"/>
      <c r="I68" s="22"/>
      <c r="J68" s="22"/>
      <c r="K68" s="22"/>
      <c r="L68" s="1718"/>
      <c r="P68" s="459"/>
    </row>
    <row r="69" spans="1:16" ht="12.75" hidden="1">
      <c r="A69" s="2701">
        <v>42401</v>
      </c>
      <c r="B69" s="635">
        <v>10.967794680655063</v>
      </c>
      <c r="C69" s="635">
        <v>0.71395799999999998</v>
      </c>
      <c r="D69" s="2700">
        <v>4</v>
      </c>
      <c r="E69" s="1831"/>
      <c r="F69" s="22"/>
      <c r="G69" s="22"/>
      <c r="H69" s="22"/>
      <c r="I69" s="22"/>
      <c r="J69" s="22"/>
      <c r="K69" s="22"/>
      <c r="L69" s="1718"/>
      <c r="P69" s="459"/>
    </row>
    <row r="70" spans="1:16" ht="12.75" hidden="1">
      <c r="A70" s="2695">
        <v>42430</v>
      </c>
      <c r="B70" s="595">
        <v>11.9</v>
      </c>
      <c r="C70" s="595">
        <v>1.4241680792220537</v>
      </c>
      <c r="D70" s="2689">
        <v>4</v>
      </c>
      <c r="E70" s="1831"/>
      <c r="F70" s="22"/>
      <c r="G70" s="22"/>
      <c r="H70" s="22"/>
      <c r="I70" s="22"/>
      <c r="J70" s="22"/>
      <c r="K70" s="22"/>
      <c r="L70" s="1718"/>
      <c r="P70" s="459"/>
    </row>
    <row r="71" spans="1:16" ht="12.75" hidden="1">
      <c r="A71" s="2695">
        <v>42461</v>
      </c>
      <c r="B71" s="595">
        <v>12.930647942395591</v>
      </c>
      <c r="C71" s="595">
        <v>2.2734855919350521</v>
      </c>
      <c r="D71" s="2689">
        <v>4</v>
      </c>
      <c r="E71" s="1831"/>
      <c r="F71" s="22"/>
      <c r="G71" s="22"/>
      <c r="H71" s="22"/>
      <c r="I71" s="22"/>
      <c r="J71" s="22"/>
      <c r="K71" s="22"/>
      <c r="L71" s="1718"/>
      <c r="P71" s="459"/>
    </row>
    <row r="72" spans="1:16" ht="12.75" hidden="1">
      <c r="A72" s="2695">
        <v>42491</v>
      </c>
      <c r="B72" s="595">
        <v>12.02539249671036</v>
      </c>
      <c r="C72" s="595">
        <v>0.6642430190025872</v>
      </c>
      <c r="D72" s="2689">
        <v>4</v>
      </c>
      <c r="E72" s="1831"/>
      <c r="F72" s="22"/>
      <c r="G72" s="22"/>
      <c r="H72" s="22"/>
      <c r="I72" s="22"/>
      <c r="J72" s="22"/>
      <c r="K72" s="22"/>
      <c r="L72" s="1718"/>
      <c r="P72" s="459"/>
    </row>
    <row r="73" spans="1:16" ht="12.75" hidden="1">
      <c r="A73" s="2695">
        <v>42522</v>
      </c>
      <c r="B73" s="595">
        <v>11.46</v>
      </c>
      <c r="C73" s="595">
        <v>0.63275046837362836</v>
      </c>
      <c r="D73" s="2689">
        <v>4</v>
      </c>
      <c r="E73" s="1831"/>
      <c r="F73" s="22"/>
      <c r="G73" s="22"/>
      <c r="H73" s="22"/>
      <c r="I73" s="22"/>
      <c r="J73" s="22"/>
      <c r="K73" s="22"/>
      <c r="L73" s="1718"/>
      <c r="P73" s="459"/>
    </row>
    <row r="74" spans="1:16" ht="12.75" hidden="1">
      <c r="A74" s="2695">
        <v>42552</v>
      </c>
      <c r="B74" s="595">
        <v>13.21</v>
      </c>
      <c r="C74" s="595">
        <v>1.9172326614555839</v>
      </c>
      <c r="D74" s="2689">
        <v>4</v>
      </c>
      <c r="E74" s="1831"/>
      <c r="F74" s="22"/>
      <c r="G74" s="22"/>
      <c r="H74" s="22"/>
      <c r="I74" s="22"/>
      <c r="J74" s="22"/>
      <c r="K74" s="22"/>
      <c r="L74" s="1718"/>
      <c r="P74" s="459"/>
    </row>
    <row r="75" spans="1:16" ht="12.75" hidden="1">
      <c r="A75" s="2695">
        <v>42583</v>
      </c>
      <c r="B75" s="595">
        <v>13.44</v>
      </c>
      <c r="C75" s="595">
        <v>1.30399678829512</v>
      </c>
      <c r="D75" s="2689">
        <v>4</v>
      </c>
      <c r="E75" s="1831"/>
      <c r="F75" s="22"/>
      <c r="G75" s="22"/>
      <c r="H75" s="22"/>
      <c r="I75" s="22"/>
      <c r="J75" s="22"/>
      <c r="K75" s="22"/>
      <c r="L75" s="1718"/>
      <c r="P75" s="459"/>
    </row>
    <row r="76" spans="1:16" ht="12.75" hidden="1">
      <c r="A76" s="2695">
        <v>42614</v>
      </c>
      <c r="B76" s="595">
        <v>13.16</v>
      </c>
      <c r="C76" s="595">
        <v>0.91352930680703004</v>
      </c>
      <c r="D76" s="2689">
        <v>4</v>
      </c>
      <c r="E76" s="1831"/>
      <c r="F76" s="22"/>
      <c r="G76" s="22"/>
      <c r="H76" s="22"/>
      <c r="I76" s="22"/>
      <c r="J76" s="22"/>
      <c r="K76" s="22"/>
      <c r="L76" s="1718"/>
      <c r="P76" s="459"/>
    </row>
    <row r="77" spans="1:16" ht="12.75" hidden="1">
      <c r="A77" s="2695">
        <v>42644</v>
      </c>
      <c r="B77" s="595">
        <v>13.9</v>
      </c>
      <c r="C77" s="595">
        <v>1.4956285127344995</v>
      </c>
      <c r="D77" s="2689">
        <v>4</v>
      </c>
      <c r="E77" s="1831"/>
      <c r="F77" s="22"/>
      <c r="G77" s="22"/>
      <c r="H77" s="22"/>
      <c r="I77" s="22"/>
      <c r="J77" s="22"/>
      <c r="K77" s="22"/>
      <c r="L77" s="1718"/>
      <c r="P77" s="459"/>
    </row>
    <row r="78" spans="1:16" ht="12.75" hidden="1">
      <c r="A78" s="2695">
        <v>42675</v>
      </c>
      <c r="B78" s="595">
        <v>14.75</v>
      </c>
      <c r="C78" s="595">
        <v>1.692650251286169</v>
      </c>
      <c r="D78" s="2689">
        <v>4</v>
      </c>
      <c r="E78" s="1831"/>
      <c r="F78" s="22"/>
      <c r="G78" s="22"/>
      <c r="H78" s="22"/>
      <c r="I78" s="22"/>
      <c r="J78" s="22"/>
      <c r="K78" s="22"/>
      <c r="L78" s="1718"/>
      <c r="P78" s="459"/>
    </row>
    <row r="79" spans="1:16" ht="12.75" hidden="1">
      <c r="A79" s="2701">
        <v>42705</v>
      </c>
      <c r="B79" s="635">
        <v>14.9</v>
      </c>
      <c r="C79" s="635">
        <v>1.2188420019627086</v>
      </c>
      <c r="D79" s="2700">
        <v>4</v>
      </c>
      <c r="E79" s="1831"/>
      <c r="F79" s="22"/>
      <c r="G79" s="22"/>
      <c r="H79" s="22"/>
      <c r="I79" s="22"/>
      <c r="J79" s="22"/>
      <c r="K79" s="22"/>
      <c r="L79" s="1718"/>
      <c r="P79" s="459"/>
    </row>
    <row r="80" spans="1:16" ht="20.25" hidden="1" customHeight="1">
      <c r="A80" s="368">
        <v>42736</v>
      </c>
      <c r="B80" s="634">
        <v>15.77</v>
      </c>
      <c r="C80" s="634">
        <v>1.3241450598673443</v>
      </c>
      <c r="D80" s="2694">
        <v>4</v>
      </c>
      <c r="E80" s="1831"/>
      <c r="F80" s="22"/>
      <c r="G80" s="22"/>
      <c r="H80" s="22"/>
      <c r="I80" s="22"/>
      <c r="J80" s="22"/>
      <c r="K80" s="22"/>
      <c r="L80" s="1718"/>
      <c r="P80" s="459"/>
    </row>
    <row r="81" spans="1:16" ht="20.25" hidden="1" customHeight="1">
      <c r="A81" s="2701">
        <v>42767</v>
      </c>
      <c r="B81" s="635">
        <v>15.57</v>
      </c>
      <c r="C81" s="635">
        <v>0.51591437677663876</v>
      </c>
      <c r="D81" s="2700">
        <v>4</v>
      </c>
      <c r="E81" s="1831"/>
      <c r="F81" s="22"/>
      <c r="G81" s="22"/>
      <c r="H81" s="22"/>
      <c r="I81" s="22"/>
      <c r="J81" s="22"/>
      <c r="K81" s="22"/>
      <c r="L81" s="1718"/>
      <c r="P81" s="459"/>
    </row>
    <row r="82" spans="1:16" ht="20.25" hidden="1" customHeight="1">
      <c r="A82" s="368">
        <v>42795</v>
      </c>
      <c r="B82" s="634">
        <v>16.010000000000002</v>
      </c>
      <c r="C82" s="634">
        <v>1.8621758980101646</v>
      </c>
      <c r="D82" s="2694">
        <v>4</v>
      </c>
      <c r="E82" s="1831"/>
      <c r="F82" s="22"/>
      <c r="G82" s="22"/>
      <c r="H82" s="22"/>
      <c r="I82" s="22"/>
      <c r="J82" s="22"/>
      <c r="K82" s="22"/>
      <c r="L82" s="1718"/>
      <c r="P82" s="459"/>
    </row>
    <row r="83" spans="1:16" ht="20.25" hidden="1" customHeight="1">
      <c r="A83" s="2701">
        <v>42826</v>
      </c>
      <c r="B83" s="635">
        <v>14.05</v>
      </c>
      <c r="C83" s="635">
        <v>0.31361443707468345</v>
      </c>
      <c r="D83" s="2700">
        <v>4</v>
      </c>
      <c r="E83" s="1831"/>
      <c r="F83" s="22"/>
      <c r="G83" s="22"/>
      <c r="H83" s="22"/>
      <c r="I83" s="22"/>
      <c r="J83" s="22"/>
      <c r="K83" s="22"/>
      <c r="L83" s="1718"/>
      <c r="P83" s="459"/>
    </row>
    <row r="84" spans="1:16" ht="20.25" hidden="1" customHeight="1">
      <c r="A84" s="368">
        <v>42856</v>
      </c>
      <c r="B84" s="634">
        <v>13.93</v>
      </c>
      <c r="C84" s="634">
        <v>0.54552502368851752</v>
      </c>
      <c r="D84" s="2694">
        <v>4</v>
      </c>
      <c r="E84" s="1831"/>
      <c r="F84" s="22"/>
      <c r="G84" s="22"/>
      <c r="H84" s="22"/>
      <c r="I84" s="22"/>
      <c r="J84" s="22"/>
      <c r="K84" s="22"/>
      <c r="L84" s="1718"/>
      <c r="P84" s="459"/>
    </row>
    <row r="85" spans="1:16" ht="20.25" hidden="1" customHeight="1">
      <c r="A85" s="2695">
        <v>42887</v>
      </c>
      <c r="B85" s="595">
        <v>14.21</v>
      </c>
      <c r="C85" s="595">
        <v>1.1059651994142476</v>
      </c>
      <c r="D85" s="2689">
        <v>4</v>
      </c>
      <c r="E85" s="1831"/>
      <c r="F85" s="22"/>
      <c r="G85" s="22"/>
      <c r="H85" s="22"/>
      <c r="I85" s="22"/>
      <c r="J85" s="22"/>
      <c r="K85" s="22"/>
      <c r="L85" s="1718"/>
      <c r="P85" s="459"/>
    </row>
    <row r="86" spans="1:16" ht="20.25" hidden="1" customHeight="1">
      <c r="A86" s="2695">
        <v>42917</v>
      </c>
      <c r="B86" s="595">
        <v>13.41</v>
      </c>
      <c r="C86" s="595">
        <v>1.1191446291670255</v>
      </c>
      <c r="D86" s="2689">
        <v>4</v>
      </c>
      <c r="E86" s="1831"/>
      <c r="F86" s="22"/>
      <c r="G86" s="22"/>
      <c r="H86" s="22"/>
      <c r="I86" s="22"/>
      <c r="J86" s="22"/>
      <c r="K86" s="22"/>
      <c r="L86" s="1718"/>
      <c r="P86" s="459"/>
    </row>
    <row r="87" spans="1:16" ht="20.25" hidden="1" customHeight="1">
      <c r="A87" s="2695">
        <v>42948</v>
      </c>
      <c r="B87" s="595">
        <v>13.35</v>
      </c>
      <c r="C87" s="595">
        <v>1.2441770320090961</v>
      </c>
      <c r="D87" s="2689">
        <v>4</v>
      </c>
      <c r="E87" s="1831"/>
      <c r="F87" s="22"/>
      <c r="G87" s="22"/>
      <c r="H87" s="22"/>
      <c r="I87" s="22"/>
      <c r="J87" s="22"/>
      <c r="K87" s="22"/>
      <c r="L87" s="1718"/>
      <c r="P87" s="459"/>
    </row>
    <row r="88" spans="1:16" ht="20.25" hidden="1" customHeight="1">
      <c r="A88" s="2695">
        <v>42979</v>
      </c>
      <c r="B88" s="595">
        <v>13.05518930618639</v>
      </c>
      <c r="C88" s="595">
        <v>0.61740688419529344</v>
      </c>
      <c r="D88" s="2689">
        <v>4</v>
      </c>
      <c r="E88" s="1831"/>
      <c r="F88" s="22"/>
      <c r="G88" s="22"/>
      <c r="H88" s="22"/>
      <c r="I88" s="22"/>
      <c r="J88" s="22"/>
      <c r="K88" s="22"/>
      <c r="L88" s="1718"/>
      <c r="P88" s="459"/>
    </row>
    <row r="89" spans="1:16" ht="20.25" customHeight="1">
      <c r="A89" s="2695">
        <v>43009</v>
      </c>
      <c r="B89" s="595">
        <v>12.185808465861342</v>
      </c>
      <c r="C89" s="595">
        <v>0.62624767240945456</v>
      </c>
      <c r="D89" s="2689">
        <v>4</v>
      </c>
      <c r="E89" s="1831"/>
      <c r="F89" s="22"/>
      <c r="G89" s="22"/>
      <c r="H89" s="22"/>
      <c r="I89" s="22"/>
      <c r="J89" s="22"/>
      <c r="K89" s="22"/>
      <c r="L89" s="1718"/>
      <c r="P89" s="459"/>
    </row>
    <row r="90" spans="1:16" ht="20.25" customHeight="1">
      <c r="A90" s="2695">
        <v>43040</v>
      </c>
      <c r="B90" s="595">
        <v>11.016174100904879</v>
      </c>
      <c r="C90" s="595">
        <v>0.52301588632970419</v>
      </c>
      <c r="D90" s="2689">
        <v>4</v>
      </c>
      <c r="E90" s="1831"/>
      <c r="F90" s="22"/>
      <c r="G90" s="22"/>
      <c r="H90" s="22"/>
      <c r="I90" s="22"/>
      <c r="J90" s="22"/>
      <c r="K90" s="22"/>
      <c r="L90" s="1718"/>
      <c r="P90" s="459"/>
    </row>
    <row r="91" spans="1:16" ht="20.25" customHeight="1">
      <c r="A91" s="2695">
        <v>43070</v>
      </c>
      <c r="B91" s="595">
        <v>10.546310175557226</v>
      </c>
      <c r="C91" s="595">
        <v>0.748978076615056</v>
      </c>
      <c r="D91" s="2689">
        <v>4</v>
      </c>
      <c r="E91" s="1831"/>
      <c r="F91" s="22"/>
      <c r="G91" s="22"/>
      <c r="H91" s="22"/>
      <c r="I91" s="22"/>
      <c r="J91" s="22"/>
      <c r="K91" s="22"/>
      <c r="L91" s="1718"/>
      <c r="P91" s="459"/>
    </row>
    <row r="92" spans="1:16" ht="20.25" customHeight="1">
      <c r="A92" s="2695">
        <v>43101</v>
      </c>
      <c r="B92" s="595">
        <v>9.508295321242473</v>
      </c>
      <c r="C92" s="595">
        <v>0.28613020555258944</v>
      </c>
      <c r="D92" s="2689">
        <v>4</v>
      </c>
      <c r="E92" s="1831"/>
      <c r="F92" s="22"/>
      <c r="G92" s="22"/>
      <c r="H92" s="22"/>
      <c r="I92" s="22"/>
      <c r="J92" s="22"/>
      <c r="K92" s="22"/>
      <c r="L92" s="1718"/>
      <c r="P92" s="459"/>
    </row>
    <row r="93" spans="1:16" ht="20.25" customHeight="1">
      <c r="A93" s="2695">
        <v>43132</v>
      </c>
      <c r="B93" s="595">
        <v>9.4927354893136702</v>
      </c>
      <c r="C93" s="595">
        <v>0.5003545448478377</v>
      </c>
      <c r="D93" s="2689">
        <v>4</v>
      </c>
      <c r="E93" s="1831"/>
      <c r="F93" s="22"/>
      <c r="G93" s="22"/>
      <c r="H93" s="22"/>
      <c r="I93" s="22"/>
      <c r="J93" s="22"/>
      <c r="K93" s="22"/>
      <c r="L93" s="1718"/>
      <c r="P93" s="459"/>
    </row>
    <row r="94" spans="1:16" ht="20.25" customHeight="1">
      <c r="A94" s="2695">
        <v>43160</v>
      </c>
      <c r="B94" s="595">
        <v>7.9139285181588175</v>
      </c>
      <c r="C94" s="595">
        <v>0.28336892685531234</v>
      </c>
      <c r="D94" s="2689">
        <v>4</v>
      </c>
      <c r="E94" s="1831"/>
      <c r="F94" s="22"/>
      <c r="G94" s="22"/>
      <c r="H94" s="22"/>
      <c r="I94" s="22"/>
      <c r="J94" s="22"/>
      <c r="K94" s="22"/>
      <c r="L94" s="1718"/>
      <c r="P94" s="459"/>
    </row>
    <row r="95" spans="1:16" ht="20.25" customHeight="1">
      <c r="A95" s="2695">
        <v>43191</v>
      </c>
      <c r="B95" s="595">
        <v>8.0293050047360293</v>
      </c>
      <c r="C95" s="595">
        <v>0.42899092365189534</v>
      </c>
      <c r="D95" s="2689">
        <v>4</v>
      </c>
      <c r="E95" s="1831"/>
      <c r="F95" s="22"/>
      <c r="G95" s="22"/>
      <c r="H95" s="22"/>
      <c r="I95" s="22"/>
      <c r="J95" s="22"/>
      <c r="K95" s="22"/>
      <c r="L95" s="1718"/>
      <c r="P95" s="459"/>
    </row>
    <row r="96" spans="1:16" s="2714" customFormat="1" ht="20.25" customHeight="1">
      <c r="A96" s="2701">
        <v>43221</v>
      </c>
      <c r="B96" s="635">
        <v>7.7915413071250335</v>
      </c>
      <c r="C96" s="635">
        <v>0.30776132607752144</v>
      </c>
      <c r="D96" s="2700">
        <v>4</v>
      </c>
      <c r="E96" s="2715"/>
      <c r="F96" s="2645"/>
      <c r="G96" s="2645"/>
      <c r="H96" s="2645"/>
      <c r="I96" s="2645"/>
      <c r="J96" s="2645"/>
      <c r="K96" s="2645"/>
      <c r="L96" s="1718"/>
      <c r="M96" s="2715"/>
      <c r="P96" s="459"/>
    </row>
    <row r="97" spans="1:43" s="2714" customFormat="1" ht="20.25" customHeight="1">
      <c r="A97" s="2695">
        <v>43252</v>
      </c>
      <c r="B97" s="635">
        <v>8.0265640000000005</v>
      </c>
      <c r="C97" s="635">
        <v>1.34098838</v>
      </c>
      <c r="D97" s="2700">
        <v>4</v>
      </c>
      <c r="E97" s="2715"/>
      <c r="F97" s="2645"/>
      <c r="G97" s="2645"/>
      <c r="H97" s="2645"/>
      <c r="I97" s="2645"/>
      <c r="J97" s="2645"/>
      <c r="K97" s="2645"/>
      <c r="L97" s="1718"/>
      <c r="M97" s="2715"/>
      <c r="P97" s="459"/>
    </row>
    <row r="98" spans="1:43" ht="20.25" customHeight="1">
      <c r="A98" s="2701">
        <v>43282</v>
      </c>
      <c r="B98" s="595">
        <v>7.2988410000000004</v>
      </c>
      <c r="C98" s="595">
        <v>0.39142156</v>
      </c>
      <c r="D98" s="2689">
        <v>4</v>
      </c>
      <c r="E98" s="1831"/>
      <c r="F98" s="22"/>
      <c r="G98" s="22"/>
      <c r="H98" s="22"/>
      <c r="I98" s="22"/>
      <c r="J98" s="22"/>
      <c r="K98" s="22"/>
      <c r="L98" s="1718"/>
      <c r="M98" s="1831"/>
      <c r="P98" s="459"/>
    </row>
    <row r="99" spans="1:43" s="2714" customFormat="1" ht="20.25" customHeight="1">
      <c r="A99" s="2701">
        <v>43313</v>
      </c>
      <c r="B99" s="595">
        <v>6.3859850672912444</v>
      </c>
      <c r="C99" s="595">
        <v>0.33132067851373181</v>
      </c>
      <c r="D99" s="2689">
        <v>4</v>
      </c>
      <c r="E99" s="2715"/>
      <c r="F99" s="2645"/>
      <c r="G99" s="2645"/>
      <c r="H99" s="2645"/>
      <c r="I99" s="2645"/>
      <c r="J99" s="2645"/>
      <c r="K99" s="2645"/>
      <c r="L99" s="1718"/>
      <c r="M99" s="2715"/>
      <c r="P99" s="459"/>
    </row>
    <row r="100" spans="1:43" s="2714" customFormat="1" ht="20.25" customHeight="1" thickBot="1">
      <c r="A100" s="2787">
        <v>43344</v>
      </c>
      <c r="B100" s="852">
        <v>5.7871767291379541</v>
      </c>
      <c r="C100" s="852">
        <v>1.8598546042003231E-2</v>
      </c>
      <c r="D100" s="2696">
        <v>4</v>
      </c>
      <c r="E100" s="2715"/>
      <c r="F100" s="2645"/>
      <c r="G100" s="2645"/>
      <c r="H100" s="2645"/>
      <c r="I100" s="2645"/>
      <c r="J100" s="2645"/>
      <c r="K100" s="2645"/>
      <c r="L100" s="1718"/>
      <c r="M100" s="2715"/>
      <c r="P100" s="459"/>
    </row>
    <row r="101" spans="1:43" ht="15" customHeight="1" thickBot="1">
      <c r="A101" s="1746"/>
      <c r="B101" s="162"/>
      <c r="C101" s="162"/>
      <c r="D101" s="162"/>
      <c r="E101" s="162"/>
      <c r="F101" s="162"/>
      <c r="G101" s="162"/>
      <c r="H101" s="162"/>
      <c r="I101" s="162"/>
      <c r="J101" s="162"/>
      <c r="K101" s="162"/>
      <c r="L101" s="1720"/>
    </row>
    <row r="102" spans="1:43" ht="31.5" customHeight="1">
      <c r="A102" s="3196" t="s">
        <v>71</v>
      </c>
      <c r="B102" s="3197"/>
      <c r="C102" s="3265"/>
      <c r="D102" s="3247" t="s">
        <v>699</v>
      </c>
      <c r="E102" s="3248"/>
      <c r="F102" s="3248"/>
      <c r="G102" s="3248"/>
      <c r="H102" s="3248"/>
      <c r="I102" s="3248"/>
      <c r="J102" s="3248"/>
      <c r="K102" s="3248"/>
      <c r="L102" s="3249"/>
    </row>
    <row r="103" spans="1:43" ht="31.5" customHeight="1">
      <c r="A103" s="3215" t="s">
        <v>72</v>
      </c>
      <c r="B103" s="3216"/>
      <c r="C103" s="3217"/>
      <c r="D103" s="3250" t="s">
        <v>659</v>
      </c>
      <c r="E103" s="3251"/>
      <c r="F103" s="3251"/>
      <c r="G103" s="3251"/>
      <c r="H103" s="3251"/>
      <c r="I103" s="3251"/>
      <c r="J103" s="3251"/>
      <c r="K103" s="3251"/>
      <c r="L103" s="3252"/>
    </row>
    <row r="104" spans="1:43" ht="33" customHeight="1" thickBot="1">
      <c r="A104" s="3227" t="s">
        <v>21</v>
      </c>
      <c r="B104" s="3228"/>
      <c r="C104" s="3229"/>
      <c r="D104" s="3253" t="s">
        <v>838</v>
      </c>
      <c r="E104" s="3254"/>
      <c r="F104" s="3254"/>
      <c r="G104" s="3254"/>
      <c r="H104" s="3254"/>
      <c r="I104" s="3254"/>
      <c r="J104" s="3254"/>
      <c r="K104" s="3254"/>
      <c r="L104" s="3255"/>
    </row>
    <row r="105" spans="1:43" ht="15" customHeight="1">
      <c r="A105" s="67"/>
      <c r="B105" s="21"/>
      <c r="C105" s="21"/>
      <c r="D105" s="21"/>
      <c r="E105" s="21"/>
      <c r="F105" s="21"/>
      <c r="G105" s="21"/>
      <c r="H105" s="21"/>
      <c r="I105" s="21"/>
      <c r="J105" s="21"/>
      <c r="K105" s="21"/>
      <c r="L105" s="21"/>
    </row>
    <row r="106" spans="1:43" ht="15" customHeight="1">
      <c r="A106" s="68"/>
      <c r="B106" s="20"/>
      <c r="C106" s="20"/>
      <c r="D106" s="20"/>
      <c r="E106" s="20"/>
      <c r="F106" s="20"/>
      <c r="G106" s="20"/>
      <c r="H106" s="20"/>
      <c r="I106" s="20"/>
      <c r="J106" s="20"/>
      <c r="K106" s="3260"/>
      <c r="L106" s="3260"/>
    </row>
    <row r="107" spans="1:43" ht="15" customHeight="1">
      <c r="A107" s="68"/>
      <c r="B107" s="23"/>
      <c r="C107" s="23"/>
      <c r="D107" s="23"/>
      <c r="E107" s="23"/>
      <c r="F107" s="23"/>
      <c r="G107" s="23"/>
      <c r="H107" s="23"/>
      <c r="I107" s="23"/>
      <c r="J107" s="843"/>
      <c r="K107" s="3260"/>
      <c r="L107" s="3260"/>
    </row>
    <row r="108" spans="1:43" ht="15" customHeight="1">
      <c r="A108" s="68"/>
      <c r="B108" s="23"/>
      <c r="C108" s="23"/>
      <c r="D108" s="23"/>
      <c r="E108" s="23"/>
      <c r="F108" s="23"/>
      <c r="G108" s="23"/>
      <c r="H108" s="23"/>
      <c r="I108" s="23"/>
      <c r="J108" s="23"/>
      <c r="K108" s="109"/>
      <c r="L108" s="109"/>
    </row>
    <row r="109" spans="1:43" s="8" customFormat="1" ht="15" customHeight="1">
      <c r="A109" s="47"/>
      <c r="B109" s="23"/>
      <c r="C109" s="23"/>
      <c r="D109" s="23"/>
      <c r="E109" s="23"/>
      <c r="F109" s="23"/>
      <c r="G109" s="23"/>
      <c r="H109" s="17"/>
      <c r="I109" s="17"/>
      <c r="J109" s="17"/>
      <c r="K109" s="17"/>
      <c r="L109" s="17"/>
      <c r="M109" s="17"/>
      <c r="N109" s="17"/>
      <c r="O109" s="17"/>
      <c r="Q109" s="19"/>
      <c r="R109" s="19"/>
      <c r="W109" s="18"/>
      <c r="X109" s="17"/>
      <c r="Y109" s="17"/>
      <c r="Z109" s="17"/>
      <c r="AA109" s="17"/>
      <c r="AC109" s="18"/>
      <c r="AD109" s="17"/>
      <c r="AE109" s="17"/>
      <c r="AF109" s="17"/>
      <c r="AG109" s="17"/>
      <c r="AH109" s="16"/>
      <c r="AI109" s="16"/>
      <c r="AJ109" s="16"/>
      <c r="AK109" s="16"/>
      <c r="AL109" s="16"/>
      <c r="AM109" s="16"/>
      <c r="AN109" s="16"/>
      <c r="AO109" s="16"/>
      <c r="AP109" s="16"/>
      <c r="AQ109" s="16"/>
    </row>
    <row r="110" spans="1:43" s="8" customFormat="1" ht="15" customHeight="1">
      <c r="A110" s="47"/>
      <c r="B110" s="23"/>
      <c r="C110" s="23"/>
      <c r="D110" s="296"/>
      <c r="E110" s="296"/>
      <c r="F110" s="23"/>
      <c r="G110" s="23"/>
      <c r="H110" s="17"/>
      <c r="I110" s="17"/>
      <c r="J110" s="17"/>
      <c r="K110" s="17"/>
      <c r="L110" s="17"/>
      <c r="M110" s="17"/>
      <c r="N110" s="17"/>
      <c r="O110" s="17"/>
      <c r="Q110" s="19"/>
      <c r="R110" s="19"/>
      <c r="W110" s="18"/>
      <c r="X110" s="17"/>
      <c r="Y110" s="17"/>
      <c r="Z110" s="17"/>
      <c r="AA110" s="17"/>
      <c r="AC110" s="18"/>
      <c r="AD110" s="17"/>
      <c r="AE110" s="17"/>
      <c r="AF110" s="17"/>
      <c r="AG110" s="17"/>
      <c r="AH110" s="16"/>
      <c r="AI110" s="16"/>
      <c r="AJ110" s="16"/>
      <c r="AK110" s="16"/>
      <c r="AL110" s="16"/>
      <c r="AM110" s="16"/>
      <c r="AN110" s="16"/>
      <c r="AO110" s="16"/>
      <c r="AP110" s="16"/>
      <c r="AQ110" s="16"/>
    </row>
  </sheetData>
  <mergeCells count="40">
    <mergeCell ref="K106:K107"/>
    <mergeCell ref="L106:L107"/>
    <mergeCell ref="A15:D15"/>
    <mergeCell ref="A17:A18"/>
    <mergeCell ref="C17:C18"/>
    <mergeCell ref="A102:C102"/>
    <mergeCell ref="A103:C103"/>
    <mergeCell ref="B17:B18"/>
    <mergeCell ref="D17:D18"/>
    <mergeCell ref="A16:D16"/>
    <mergeCell ref="D9:L9"/>
    <mergeCell ref="A104:C104"/>
    <mergeCell ref="A8:C8"/>
    <mergeCell ref="A9:C9"/>
    <mergeCell ref="A10:C10"/>
    <mergeCell ref="A11:C11"/>
    <mergeCell ref="A12:C12"/>
    <mergeCell ref="A13:C13"/>
    <mergeCell ref="D102:L102"/>
    <mergeCell ref="D103:L103"/>
    <mergeCell ref="D104:L104"/>
    <mergeCell ref="D10:L10"/>
    <mergeCell ref="D11:L11"/>
    <mergeCell ref="D12:L12"/>
    <mergeCell ref="D13:L13"/>
    <mergeCell ref="A1:L1"/>
    <mergeCell ref="D5:L5"/>
    <mergeCell ref="D6:L6"/>
    <mergeCell ref="D7:L7"/>
    <mergeCell ref="D8:L8"/>
    <mergeCell ref="A5:C5"/>
    <mergeCell ref="A6:C6"/>
    <mergeCell ref="A7:C7"/>
    <mergeCell ref="D2:J2"/>
    <mergeCell ref="A3:C3"/>
    <mergeCell ref="D3:L3"/>
    <mergeCell ref="A4:C4"/>
    <mergeCell ref="D4:L4"/>
    <mergeCell ref="K2:L2"/>
    <mergeCell ref="A2:C2"/>
  </mergeCells>
  <hyperlinks>
    <hyperlink ref="A15:D15" r:id="rId1" display="RESULTADO" xr:uid="{00000000-0004-0000-0D00-000000000000}"/>
  </hyperlinks>
  <printOptions horizontalCentered="1" verticalCentered="1"/>
  <pageMargins left="0.19685039370078741" right="0.19685039370078741" top="0.59055118110236227" bottom="0.39370078740157483" header="0" footer="0"/>
  <pageSetup paperSize="9" scale="90"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tabColor rgb="FFFFFF00"/>
  </sheetPr>
  <dimension ref="A1:AS406"/>
  <sheetViews>
    <sheetView showGridLines="0" view="pageBreakPreview" topLeftCell="A50" zoomScale="90" zoomScaleNormal="80" zoomScaleSheetLayoutView="90" workbookViewId="0">
      <selection activeCell="A112" sqref="A112"/>
    </sheetView>
  </sheetViews>
  <sheetFormatPr baseColWidth="10" defaultColWidth="16" defaultRowHeight="14.25"/>
  <cols>
    <col min="1" max="8" width="16" style="1457"/>
    <col min="9" max="9" width="16" style="833"/>
    <col min="10" max="16384" width="16" style="1457"/>
  </cols>
  <sheetData>
    <row r="1" spans="1:25" ht="25.5" customHeight="1" thickBot="1">
      <c r="A1" s="3267" t="s">
        <v>7</v>
      </c>
      <c r="B1" s="3268"/>
      <c r="C1" s="3268"/>
      <c r="D1" s="3268"/>
      <c r="E1" s="3268"/>
      <c r="F1" s="3268"/>
      <c r="G1" s="3268"/>
      <c r="H1" s="3268"/>
      <c r="I1" s="3268"/>
      <c r="J1" s="3269"/>
      <c r="K1" s="833"/>
    </row>
    <row r="2" spans="1:25" s="1459" customFormat="1" ht="24" customHeight="1">
      <c r="A2" s="1533" t="s">
        <v>18</v>
      </c>
      <c r="B2" s="1534"/>
      <c r="C2" s="3270" t="s">
        <v>48</v>
      </c>
      <c r="D2" s="3271"/>
      <c r="E2" s="3271"/>
      <c r="F2" s="3271"/>
      <c r="G2" s="3271"/>
      <c r="H2" s="3271"/>
      <c r="I2" s="3272"/>
      <c r="J2" s="1535" t="s">
        <v>265</v>
      </c>
      <c r="K2" s="1458"/>
    </row>
    <row r="3" spans="1:25" s="1459" customFormat="1" ht="24" customHeight="1">
      <c r="A3" s="1460" t="s">
        <v>17</v>
      </c>
      <c r="B3" s="1536"/>
      <c r="C3" s="3282" t="s">
        <v>174</v>
      </c>
      <c r="D3" s="3283"/>
      <c r="E3" s="3283"/>
      <c r="F3" s="3283"/>
      <c r="G3" s="3283"/>
      <c r="H3" s="3283"/>
      <c r="I3" s="3283"/>
      <c r="J3" s="3284"/>
      <c r="K3" s="1458"/>
    </row>
    <row r="4" spans="1:25" s="1459" customFormat="1" ht="24" customHeight="1">
      <c r="A4" s="1460" t="s">
        <v>8</v>
      </c>
      <c r="B4" s="1536"/>
      <c r="C4" s="3282" t="s">
        <v>175</v>
      </c>
      <c r="D4" s="3283"/>
      <c r="E4" s="3283"/>
      <c r="F4" s="3283"/>
      <c r="G4" s="3283"/>
      <c r="H4" s="3283"/>
      <c r="I4" s="3283"/>
      <c r="J4" s="3284"/>
      <c r="K4" s="1458"/>
    </row>
    <row r="5" spans="1:25" s="1459" customFormat="1" ht="24" customHeight="1">
      <c r="A5" s="1460" t="s">
        <v>11</v>
      </c>
      <c r="B5" s="1536"/>
      <c r="C5" s="3282" t="s">
        <v>176</v>
      </c>
      <c r="D5" s="3283"/>
      <c r="E5" s="3283"/>
      <c r="F5" s="3283"/>
      <c r="G5" s="3283"/>
      <c r="H5" s="3283"/>
      <c r="I5" s="3283"/>
      <c r="J5" s="3284"/>
      <c r="K5" s="1458"/>
    </row>
    <row r="6" spans="1:25" s="1459" customFormat="1" ht="24" customHeight="1">
      <c r="A6" s="1460" t="s">
        <v>16</v>
      </c>
      <c r="B6" s="1536"/>
      <c r="C6" s="3282" t="s">
        <v>12</v>
      </c>
      <c r="D6" s="3283"/>
      <c r="E6" s="3283"/>
      <c r="F6" s="3283"/>
      <c r="G6" s="3283"/>
      <c r="H6" s="3283"/>
      <c r="I6" s="3283"/>
      <c r="J6" s="3284"/>
      <c r="K6" s="1458"/>
    </row>
    <row r="7" spans="1:25" s="1459" customFormat="1" ht="24" customHeight="1">
      <c r="A7" s="1537" t="s">
        <v>9</v>
      </c>
      <c r="B7" s="1538"/>
      <c r="C7" s="3282" t="s">
        <v>700</v>
      </c>
      <c r="D7" s="3283"/>
      <c r="E7" s="3283"/>
      <c r="F7" s="3283"/>
      <c r="G7" s="3283"/>
      <c r="H7" s="3283"/>
      <c r="I7" s="3283"/>
      <c r="J7" s="3284"/>
      <c r="K7" s="1458"/>
      <c r="Y7" s="1463"/>
    </row>
    <row r="8" spans="1:25" s="1459" customFormat="1" ht="33.75" customHeight="1" thickBot="1">
      <c r="A8" s="1539" t="s">
        <v>21</v>
      </c>
      <c r="B8" s="1540"/>
      <c r="C8" s="3279"/>
      <c r="D8" s="3280"/>
      <c r="E8" s="3280"/>
      <c r="F8" s="3280"/>
      <c r="G8" s="3280"/>
      <c r="H8" s="3280"/>
      <c r="I8" s="3280"/>
      <c r="J8" s="3281"/>
      <c r="K8" s="1458"/>
    </row>
    <row r="9" spans="1:25" ht="15" thickBot="1">
      <c r="A9" s="1541"/>
      <c r="B9" s="1542"/>
      <c r="C9" s="1542"/>
      <c r="D9" s="1542"/>
      <c r="E9" s="1542"/>
      <c r="F9" s="1543"/>
      <c r="G9" s="833"/>
      <c r="H9" s="833"/>
      <c r="J9" s="833"/>
      <c r="K9" s="833"/>
    </row>
    <row r="10" spans="1:25" s="833" customFormat="1" ht="15.75" customHeight="1" thickBot="1">
      <c r="A10" s="3273" t="s">
        <v>141</v>
      </c>
      <c r="B10" s="3275" t="s">
        <v>142</v>
      </c>
      <c r="C10" s="3276"/>
      <c r="D10" s="3276"/>
      <c r="E10" s="3276"/>
      <c r="F10" s="3277"/>
      <c r="G10" s="1544"/>
      <c r="H10" s="3278"/>
      <c r="I10" s="3278"/>
      <c r="J10" s="3278"/>
    </row>
    <row r="11" spans="1:25" ht="29.25" thickBot="1">
      <c r="A11" s="3274"/>
      <c r="B11" s="1545" t="s">
        <v>237</v>
      </c>
      <c r="C11" s="1545" t="s">
        <v>236</v>
      </c>
      <c r="D11" s="1546" t="s">
        <v>140</v>
      </c>
      <c r="E11" s="1547" t="s">
        <v>186</v>
      </c>
      <c r="F11" s="1548" t="s">
        <v>187</v>
      </c>
      <c r="G11" s="1549"/>
      <c r="H11" s="1550"/>
      <c r="I11" s="1551"/>
      <c r="J11" s="1551"/>
      <c r="K11" s="833"/>
    </row>
    <row r="12" spans="1:25" ht="15" hidden="1" thickBot="1">
      <c r="A12" s="1552">
        <v>40544</v>
      </c>
      <c r="B12" s="1553"/>
      <c r="C12" s="1554"/>
      <c r="D12" s="1555"/>
      <c r="E12" s="1554"/>
      <c r="F12" s="1556">
        <f>+E12</f>
        <v>0</v>
      </c>
      <c r="G12" s="1557"/>
      <c r="H12" s="833"/>
      <c r="J12" s="833"/>
      <c r="K12" s="833"/>
    </row>
    <row r="13" spans="1:25" ht="15" hidden="1" thickBot="1">
      <c r="A13" s="1558">
        <v>40575</v>
      </c>
      <c r="B13" s="1559"/>
      <c r="C13" s="1560"/>
      <c r="D13" s="1561"/>
      <c r="E13" s="1560"/>
      <c r="F13" s="1562">
        <f>SUM(E12:E13)</f>
        <v>0</v>
      </c>
      <c r="G13" s="1557"/>
      <c r="H13" s="833"/>
      <c r="J13" s="833"/>
      <c r="K13" s="833"/>
    </row>
    <row r="14" spans="1:25" ht="15" hidden="1" thickBot="1">
      <c r="A14" s="1558">
        <v>40603</v>
      </c>
      <c r="B14" s="1559"/>
      <c r="C14" s="1560"/>
      <c r="D14" s="1561"/>
      <c r="E14" s="1560"/>
      <c r="F14" s="1562">
        <f>SUM(E12:E14)</f>
        <v>0</v>
      </c>
      <c r="G14" s="1557"/>
      <c r="H14" s="833"/>
      <c r="J14" s="833"/>
      <c r="K14" s="833"/>
    </row>
    <row r="15" spans="1:25" ht="15" hidden="1" thickBot="1">
      <c r="A15" s="1558">
        <v>40634</v>
      </c>
      <c r="B15" s="1563"/>
      <c r="C15" s="1560"/>
      <c r="D15" s="1561"/>
      <c r="E15" s="1560"/>
      <c r="F15" s="1562">
        <f>SUM(E12:E15)</f>
        <v>0</v>
      </c>
      <c r="G15" s="1557"/>
      <c r="H15" s="833"/>
      <c r="J15" s="833"/>
      <c r="K15" s="833"/>
    </row>
    <row r="16" spans="1:25" ht="15" hidden="1" thickBot="1">
      <c r="A16" s="1558">
        <v>40664</v>
      </c>
      <c r="B16" s="1559"/>
      <c r="C16" s="1560"/>
      <c r="D16" s="1561"/>
      <c r="E16" s="1560"/>
      <c r="F16" s="1562">
        <f>SUM(E12:E16)</f>
        <v>0</v>
      </c>
      <c r="G16" s="1557"/>
      <c r="H16" s="833"/>
      <c r="J16" s="833"/>
      <c r="K16" s="833"/>
    </row>
    <row r="17" spans="1:11" ht="15" hidden="1" thickBot="1">
      <c r="A17" s="1558">
        <v>40695</v>
      </c>
      <c r="B17" s="1559"/>
      <c r="C17" s="1560"/>
      <c r="D17" s="1561"/>
      <c r="E17" s="1560"/>
      <c r="F17" s="1562">
        <f>SUM(E12:E17)</f>
        <v>0</v>
      </c>
      <c r="G17" s="1557"/>
      <c r="H17" s="833"/>
      <c r="J17" s="833"/>
      <c r="K17" s="833"/>
    </row>
    <row r="18" spans="1:11" ht="15" hidden="1" thickBot="1">
      <c r="A18" s="1558">
        <v>40725</v>
      </c>
      <c r="B18" s="1559"/>
      <c r="C18" s="1560"/>
      <c r="D18" s="1561"/>
      <c r="E18" s="1560">
        <f t="shared" ref="E18:E23" si="0">SUM(B18:D18)</f>
        <v>0</v>
      </c>
      <c r="F18" s="1562">
        <f>SUM(E12:E18)</f>
        <v>0</v>
      </c>
      <c r="G18" s="1557"/>
      <c r="H18" s="833"/>
      <c r="J18" s="833"/>
      <c r="K18" s="833"/>
    </row>
    <row r="19" spans="1:11" ht="15" hidden="1" thickBot="1">
      <c r="A19" s="1558">
        <v>40756</v>
      </c>
      <c r="B19" s="1559">
        <v>5</v>
      </c>
      <c r="C19" s="1560">
        <v>0</v>
      </c>
      <c r="D19" s="1561">
        <v>0</v>
      </c>
      <c r="E19" s="1560">
        <f t="shared" si="0"/>
        <v>5</v>
      </c>
      <c r="F19" s="1562">
        <f>SUM(E12:E19)</f>
        <v>5</v>
      </c>
      <c r="G19" s="1557"/>
      <c r="H19" s="833"/>
      <c r="J19" s="833"/>
      <c r="K19" s="833"/>
    </row>
    <row r="20" spans="1:11" ht="15" hidden="1" thickBot="1">
      <c r="A20" s="1558">
        <v>40787</v>
      </c>
      <c r="B20" s="1559">
        <v>44</v>
      </c>
      <c r="C20" s="1560">
        <v>0</v>
      </c>
      <c r="D20" s="1561">
        <v>0</v>
      </c>
      <c r="E20" s="1560">
        <f t="shared" si="0"/>
        <v>44</v>
      </c>
      <c r="F20" s="1562">
        <f>SUM(E12:E20)</f>
        <v>49</v>
      </c>
      <c r="G20" s="1557"/>
      <c r="H20" s="833"/>
      <c r="J20" s="833"/>
      <c r="K20" s="833"/>
    </row>
    <row r="21" spans="1:11" ht="15" hidden="1" thickBot="1">
      <c r="A21" s="1558">
        <v>40817</v>
      </c>
      <c r="B21" s="1559">
        <v>46</v>
      </c>
      <c r="C21" s="1560">
        <v>0</v>
      </c>
      <c r="D21" s="1561">
        <v>0</v>
      </c>
      <c r="E21" s="1560">
        <f t="shared" si="0"/>
        <v>46</v>
      </c>
      <c r="F21" s="1562">
        <f>SUM(E12:E21)</f>
        <v>95</v>
      </c>
      <c r="G21" s="1557"/>
      <c r="H21" s="833"/>
      <c r="J21" s="833"/>
      <c r="K21" s="833"/>
    </row>
    <row r="22" spans="1:11" ht="15" hidden="1" thickBot="1">
      <c r="A22" s="1558">
        <v>40848</v>
      </c>
      <c r="B22" s="1559">
        <v>38</v>
      </c>
      <c r="C22" s="1560">
        <v>0</v>
      </c>
      <c r="D22" s="1561">
        <v>0</v>
      </c>
      <c r="E22" s="1560">
        <f t="shared" si="0"/>
        <v>38</v>
      </c>
      <c r="F22" s="1562">
        <f>SUM(E12:E22)</f>
        <v>133</v>
      </c>
      <c r="G22" s="1557"/>
      <c r="H22" s="833"/>
      <c r="J22" s="833"/>
      <c r="K22" s="833"/>
    </row>
    <row r="23" spans="1:11" ht="15" hidden="1" thickBot="1">
      <c r="A23" s="1564">
        <v>40878</v>
      </c>
      <c r="B23" s="1565">
        <v>43</v>
      </c>
      <c r="C23" s="1566">
        <v>0</v>
      </c>
      <c r="D23" s="1567">
        <v>0</v>
      </c>
      <c r="E23" s="1566">
        <f t="shared" si="0"/>
        <v>43</v>
      </c>
      <c r="F23" s="1568">
        <f>SUM(E12:E23)</f>
        <v>176</v>
      </c>
      <c r="G23" s="1557"/>
      <c r="H23" s="833"/>
      <c r="J23" s="833"/>
      <c r="K23" s="833"/>
    </row>
    <row r="24" spans="1:11">
      <c r="A24" s="1569" t="s">
        <v>6</v>
      </c>
      <c r="B24" s="1570">
        <f>SUM(B12:B23)</f>
        <v>176</v>
      </c>
      <c r="C24" s="1571">
        <f>SUM(C12:C23)</f>
        <v>0</v>
      </c>
      <c r="D24" s="1571">
        <f>SUM(D12:D23)</f>
        <v>0</v>
      </c>
      <c r="E24" s="1571">
        <f>SUM(E12:E23)</f>
        <v>176</v>
      </c>
      <c r="F24" s="1572">
        <f>SUM(F12:F23)</f>
        <v>458</v>
      </c>
      <c r="G24" s="1557"/>
      <c r="H24" s="833"/>
      <c r="J24" s="833"/>
      <c r="K24" s="833"/>
    </row>
    <row r="25" spans="1:11" hidden="1">
      <c r="A25" s="1573">
        <v>40909</v>
      </c>
      <c r="B25" s="1574">
        <v>1</v>
      </c>
      <c r="C25" s="1575">
        <v>42</v>
      </c>
      <c r="D25" s="1576">
        <v>1</v>
      </c>
      <c r="E25" s="1575">
        <v>44</v>
      </c>
      <c r="F25" s="1577">
        <f>+E25</f>
        <v>44</v>
      </c>
      <c r="G25" s="1557"/>
      <c r="H25" s="833"/>
      <c r="J25" s="833"/>
      <c r="K25" s="833"/>
    </row>
    <row r="26" spans="1:11" hidden="1">
      <c r="A26" s="1558">
        <v>40940</v>
      </c>
      <c r="B26" s="1559">
        <v>5</v>
      </c>
      <c r="C26" s="1560">
        <v>17</v>
      </c>
      <c r="D26" s="1561">
        <v>1</v>
      </c>
      <c r="E26" s="1560">
        <v>23</v>
      </c>
      <c r="F26" s="1562">
        <f>SUM(E25:E26)</f>
        <v>67</v>
      </c>
      <c r="G26" s="1557"/>
      <c r="H26" s="833"/>
      <c r="J26" s="833"/>
      <c r="K26" s="833"/>
    </row>
    <row r="27" spans="1:11" hidden="1">
      <c r="A27" s="1558">
        <v>40969</v>
      </c>
      <c r="B27" s="1559">
        <v>8</v>
      </c>
      <c r="C27" s="1560">
        <v>41</v>
      </c>
      <c r="D27" s="1561">
        <v>0</v>
      </c>
      <c r="E27" s="1560">
        <v>49</v>
      </c>
      <c r="F27" s="1562">
        <f>SUM(E25:E27)</f>
        <v>116</v>
      </c>
      <c r="G27" s="1557"/>
      <c r="H27" s="833"/>
      <c r="J27" s="833"/>
      <c r="K27" s="833"/>
    </row>
    <row r="28" spans="1:11" hidden="1">
      <c r="A28" s="1558">
        <v>41000</v>
      </c>
      <c r="B28" s="1563">
        <v>7</v>
      </c>
      <c r="C28" s="1560">
        <v>39</v>
      </c>
      <c r="D28" s="1561">
        <v>1</v>
      </c>
      <c r="E28" s="1560">
        <v>47</v>
      </c>
      <c r="F28" s="1562">
        <f>SUM(E25:E28)</f>
        <v>163</v>
      </c>
      <c r="G28" s="1557"/>
      <c r="H28" s="833"/>
      <c r="J28" s="833"/>
      <c r="K28" s="833"/>
    </row>
    <row r="29" spans="1:11" hidden="1">
      <c r="A29" s="1558">
        <v>41030</v>
      </c>
      <c r="B29" s="1559">
        <v>11</v>
      </c>
      <c r="C29" s="1560">
        <v>34</v>
      </c>
      <c r="D29" s="1561">
        <v>0</v>
      </c>
      <c r="E29" s="1560">
        <v>45</v>
      </c>
      <c r="F29" s="1562">
        <f>SUM(E25:E29)</f>
        <v>208</v>
      </c>
      <c r="G29" s="1557"/>
      <c r="H29" s="833"/>
      <c r="J29" s="833"/>
      <c r="K29" s="833"/>
    </row>
    <row r="30" spans="1:11" hidden="1">
      <c r="A30" s="1558">
        <v>41061</v>
      </c>
      <c r="B30" s="1559">
        <v>7</v>
      </c>
      <c r="C30" s="1560">
        <v>50</v>
      </c>
      <c r="D30" s="1561">
        <v>0</v>
      </c>
      <c r="E30" s="1560">
        <v>57</v>
      </c>
      <c r="F30" s="1562">
        <f>SUM(E25:E30)</f>
        <v>265</v>
      </c>
      <c r="G30" s="1557"/>
      <c r="H30" s="833"/>
      <c r="J30" s="833"/>
      <c r="K30" s="833"/>
    </row>
    <row r="31" spans="1:11" hidden="1">
      <c r="A31" s="1558">
        <v>41091</v>
      </c>
      <c r="B31" s="1559">
        <v>7</v>
      </c>
      <c r="C31" s="1560">
        <v>44</v>
      </c>
      <c r="D31" s="1561">
        <v>0</v>
      </c>
      <c r="E31" s="1560">
        <v>51</v>
      </c>
      <c r="F31" s="1562">
        <f>SUM(E25:E31)</f>
        <v>316</v>
      </c>
      <c r="G31" s="1557"/>
      <c r="H31" s="833"/>
      <c r="J31" s="833"/>
      <c r="K31" s="833"/>
    </row>
    <row r="32" spans="1:11" hidden="1">
      <c r="A32" s="1558">
        <v>41122</v>
      </c>
      <c r="B32" s="1559">
        <v>8</v>
      </c>
      <c r="C32" s="1560">
        <v>23</v>
      </c>
      <c r="D32" s="1561">
        <v>2</v>
      </c>
      <c r="E32" s="1560">
        <v>33</v>
      </c>
      <c r="F32" s="1562">
        <f>SUM(E25:E32)</f>
        <v>349</v>
      </c>
      <c r="G32" s="1557"/>
      <c r="H32" s="833"/>
      <c r="J32" s="833"/>
      <c r="K32" s="833"/>
    </row>
    <row r="33" spans="1:45" hidden="1">
      <c r="A33" s="1558">
        <v>41153</v>
      </c>
      <c r="B33" s="1559">
        <v>3</v>
      </c>
      <c r="C33" s="1560">
        <v>57</v>
      </c>
      <c r="D33" s="1561">
        <v>1</v>
      </c>
      <c r="E33" s="1560">
        <v>61</v>
      </c>
      <c r="F33" s="1562">
        <f>SUM(E25:E33)</f>
        <v>410</v>
      </c>
      <c r="G33" s="1557"/>
      <c r="H33" s="833"/>
      <c r="J33" s="833"/>
      <c r="K33" s="833"/>
    </row>
    <row r="34" spans="1:45" hidden="1">
      <c r="A34" s="1558">
        <v>41183</v>
      </c>
      <c r="B34" s="1559">
        <v>5</v>
      </c>
      <c r="C34" s="1560">
        <v>40</v>
      </c>
      <c r="D34" s="1561">
        <v>0</v>
      </c>
      <c r="E34" s="1560">
        <v>45</v>
      </c>
      <c r="F34" s="1562">
        <f>SUM(E25:E34)</f>
        <v>455</v>
      </c>
      <c r="G34" s="1557"/>
      <c r="H34" s="833"/>
      <c r="J34" s="833"/>
      <c r="K34" s="833"/>
    </row>
    <row r="35" spans="1:45" hidden="1">
      <c r="A35" s="1558">
        <v>41214</v>
      </c>
      <c r="B35" s="1559">
        <v>3</v>
      </c>
      <c r="C35" s="1560">
        <v>31</v>
      </c>
      <c r="D35" s="1561">
        <v>2</v>
      </c>
      <c r="E35" s="1560">
        <v>36</v>
      </c>
      <c r="F35" s="1562">
        <f>SUM(E25:E35)</f>
        <v>491</v>
      </c>
      <c r="G35" s="1557"/>
      <c r="H35" s="833"/>
      <c r="J35" s="833"/>
      <c r="K35" s="833"/>
    </row>
    <row r="36" spans="1:45" s="833" customFormat="1" hidden="1">
      <c r="A36" s="1564">
        <v>41244</v>
      </c>
      <c r="B36" s="1565">
        <v>5</v>
      </c>
      <c r="C36" s="1566">
        <v>42</v>
      </c>
      <c r="D36" s="1567">
        <v>0</v>
      </c>
      <c r="E36" s="1566">
        <v>47</v>
      </c>
      <c r="F36" s="1568">
        <f>SUM(E25:E36)</f>
        <v>538</v>
      </c>
      <c r="G36" s="1557"/>
    </row>
    <row r="37" spans="1:45" s="833" customFormat="1">
      <c r="A37" s="1578" t="s">
        <v>192</v>
      </c>
      <c r="B37" s="1579">
        <f>SUM(B25:B36)</f>
        <v>70</v>
      </c>
      <c r="C37" s="1580">
        <f>SUM(C25:C36)</f>
        <v>460</v>
      </c>
      <c r="D37" s="1580">
        <f>SUM(D25:D36)</f>
        <v>8</v>
      </c>
      <c r="E37" s="1580">
        <f>SUM(E25:E36)</f>
        <v>538</v>
      </c>
      <c r="F37" s="1581">
        <f>SUM(F25:F36)</f>
        <v>3422</v>
      </c>
      <c r="G37" s="1557"/>
    </row>
    <row r="38" spans="1:45" hidden="1">
      <c r="A38" s="1573">
        <v>41275</v>
      </c>
      <c r="B38" s="1574">
        <v>0</v>
      </c>
      <c r="C38" s="1575">
        <v>36</v>
      </c>
      <c r="D38" s="1576">
        <v>2</v>
      </c>
      <c r="E38" s="1575">
        <v>38</v>
      </c>
      <c r="F38" s="1577">
        <f>E38</f>
        <v>38</v>
      </c>
      <c r="G38" s="1557"/>
      <c r="H38" s="833"/>
      <c r="J38" s="833"/>
      <c r="K38" s="833"/>
    </row>
    <row r="39" spans="1:45" hidden="1">
      <c r="A39" s="1558">
        <v>41306</v>
      </c>
      <c r="B39" s="1559">
        <v>2</v>
      </c>
      <c r="C39" s="1560">
        <v>25</v>
      </c>
      <c r="D39" s="1561">
        <v>0</v>
      </c>
      <c r="E39" s="1560">
        <v>27</v>
      </c>
      <c r="F39" s="1562">
        <f>E38+E39</f>
        <v>65</v>
      </c>
      <c r="G39" s="1557"/>
      <c r="H39" s="833"/>
      <c r="J39" s="833"/>
      <c r="K39" s="833"/>
    </row>
    <row r="40" spans="1:45" hidden="1">
      <c r="A40" s="1558">
        <v>41334</v>
      </c>
      <c r="B40" s="1559">
        <v>1</v>
      </c>
      <c r="C40" s="1560">
        <v>54</v>
      </c>
      <c r="D40" s="1561">
        <v>1</v>
      </c>
      <c r="E40" s="1560">
        <v>56</v>
      </c>
      <c r="F40" s="1562">
        <f>E38+E39+E40</f>
        <v>121</v>
      </c>
      <c r="G40" s="1557"/>
      <c r="H40" s="833"/>
      <c r="J40" s="833"/>
      <c r="K40" s="833"/>
    </row>
    <row r="41" spans="1:45" hidden="1">
      <c r="A41" s="1558">
        <v>41365</v>
      </c>
      <c r="B41" s="1563">
        <v>0</v>
      </c>
      <c r="C41" s="1560">
        <v>66</v>
      </c>
      <c r="D41" s="1561">
        <v>3</v>
      </c>
      <c r="E41" s="1560">
        <v>69</v>
      </c>
      <c r="F41" s="1562">
        <f>SUM(E38:E41)</f>
        <v>190</v>
      </c>
      <c r="G41" s="1557"/>
      <c r="H41" s="1426"/>
      <c r="I41" s="1426"/>
      <c r="J41" s="1426"/>
      <c r="K41" s="833"/>
    </row>
    <row r="42" spans="1:45" hidden="1">
      <c r="A42" s="1558">
        <v>41395</v>
      </c>
      <c r="B42" s="1559">
        <v>0</v>
      </c>
      <c r="C42" s="1560">
        <v>30</v>
      </c>
      <c r="D42" s="1561">
        <v>0</v>
      </c>
      <c r="E42" s="1560">
        <v>30</v>
      </c>
      <c r="F42" s="1562">
        <f>SUM(E38:E42)</f>
        <v>220</v>
      </c>
      <c r="G42" s="1557"/>
      <c r="H42" s="1426"/>
      <c r="I42" s="1426"/>
      <c r="J42" s="1426"/>
      <c r="K42" s="833"/>
      <c r="AS42" s="1465">
        <v>0</v>
      </c>
    </row>
    <row r="43" spans="1:45" hidden="1">
      <c r="A43" s="1558">
        <v>41426</v>
      </c>
      <c r="B43" s="1559">
        <v>0</v>
      </c>
      <c r="C43" s="1560">
        <v>45</v>
      </c>
      <c r="D43" s="1561">
        <v>2</v>
      </c>
      <c r="E43" s="1560">
        <v>47</v>
      </c>
      <c r="F43" s="1562">
        <f>SUM(E38:E43)</f>
        <v>267</v>
      </c>
      <c r="G43" s="1557"/>
      <c r="H43" s="1426"/>
      <c r="I43" s="1426"/>
      <c r="J43" s="1426"/>
      <c r="K43" s="833"/>
      <c r="AS43" s="1465"/>
    </row>
    <row r="44" spans="1:45" hidden="1">
      <c r="A44" s="1558">
        <v>41456</v>
      </c>
      <c r="B44" s="1559">
        <v>5</v>
      </c>
      <c r="C44" s="1560">
        <v>41</v>
      </c>
      <c r="D44" s="1561">
        <v>0</v>
      </c>
      <c r="E44" s="1560">
        <v>46</v>
      </c>
      <c r="F44" s="1562">
        <f>SUM(E38:E44)</f>
        <v>313</v>
      </c>
      <c r="G44" s="1557"/>
      <c r="H44" s="1426"/>
      <c r="I44" s="927"/>
      <c r="J44" s="927"/>
      <c r="K44" s="833"/>
      <c r="AS44" s="1465"/>
    </row>
    <row r="45" spans="1:45" hidden="1">
      <c r="A45" s="1573">
        <v>41487</v>
      </c>
      <c r="B45" s="1582">
        <v>3</v>
      </c>
      <c r="C45" s="1575">
        <v>48</v>
      </c>
      <c r="D45" s="1576">
        <v>0</v>
      </c>
      <c r="E45" s="1575">
        <v>51</v>
      </c>
      <c r="F45" s="1577">
        <f>SUM(E38:E45)</f>
        <v>364</v>
      </c>
      <c r="G45" s="1557"/>
      <c r="H45" s="1426"/>
      <c r="I45" s="927"/>
      <c r="J45" s="927"/>
      <c r="K45" s="833"/>
      <c r="AS45" s="1465"/>
    </row>
    <row r="46" spans="1:45" hidden="1">
      <c r="A46" s="1558">
        <v>41518</v>
      </c>
      <c r="B46" s="1583">
        <v>3</v>
      </c>
      <c r="C46" s="1560">
        <v>52</v>
      </c>
      <c r="D46" s="1561">
        <v>0</v>
      </c>
      <c r="E46" s="1560">
        <v>55</v>
      </c>
      <c r="F46" s="1562">
        <f>SUM(E38:E46)</f>
        <v>419</v>
      </c>
      <c r="G46" s="1557"/>
      <c r="H46" s="1426"/>
      <c r="I46" s="927"/>
      <c r="J46" s="927"/>
      <c r="K46" s="833"/>
      <c r="AS46" s="1465"/>
    </row>
    <row r="47" spans="1:45" hidden="1">
      <c r="A47" s="1558">
        <v>41548</v>
      </c>
      <c r="B47" s="1584">
        <v>0</v>
      </c>
      <c r="C47" s="1560">
        <v>61</v>
      </c>
      <c r="D47" s="1561">
        <v>1</v>
      </c>
      <c r="E47" s="1560">
        <v>62</v>
      </c>
      <c r="F47" s="1562">
        <f>SUM(E38:E47)</f>
        <v>481</v>
      </c>
      <c r="G47" s="1557"/>
      <c r="H47" s="1426"/>
      <c r="I47" s="927"/>
      <c r="J47" s="927"/>
      <c r="K47" s="833"/>
      <c r="AS47" s="1465"/>
    </row>
    <row r="48" spans="1:45" ht="15" hidden="1">
      <c r="A48" s="1558">
        <v>41579</v>
      </c>
      <c r="B48" s="1583">
        <v>0</v>
      </c>
      <c r="C48" s="1560">
        <v>30</v>
      </c>
      <c r="D48" s="1561">
        <v>2</v>
      </c>
      <c r="E48" s="1560">
        <v>32</v>
      </c>
      <c r="F48" s="1562">
        <f>SUM(E38:E48)</f>
        <v>513</v>
      </c>
      <c r="G48" s="1557"/>
      <c r="H48" s="1585"/>
      <c r="I48" s="1586"/>
      <c r="J48" s="1586"/>
      <c r="K48" s="833"/>
      <c r="AS48" s="1465"/>
    </row>
    <row r="49" spans="1:45" hidden="1">
      <c r="A49" s="1558">
        <v>41609</v>
      </c>
      <c r="B49" s="1584">
        <v>1</v>
      </c>
      <c r="C49" s="1560">
        <v>54</v>
      </c>
      <c r="D49" s="1561">
        <v>4</v>
      </c>
      <c r="E49" s="1560">
        <v>59</v>
      </c>
      <c r="F49" s="1562">
        <f>SUM(E38:E49)</f>
        <v>572</v>
      </c>
      <c r="G49" s="1557"/>
      <c r="H49" s="1557"/>
      <c r="J49" s="833"/>
      <c r="K49" s="833"/>
      <c r="AS49" s="1465"/>
    </row>
    <row r="50" spans="1:45">
      <c r="A50" s="1578" t="s">
        <v>375</v>
      </c>
      <c r="B50" s="1579">
        <f>SUM(B38:B49)</f>
        <v>15</v>
      </c>
      <c r="C50" s="1580">
        <f>SUM(C38:C49)</f>
        <v>542</v>
      </c>
      <c r="D50" s="1580">
        <f>SUM(D38:D49)</f>
        <v>15</v>
      </c>
      <c r="E50" s="1580">
        <f>SUM(E38:E49)</f>
        <v>572</v>
      </c>
      <c r="F50" s="1581">
        <f>SUM(F38:F49)</f>
        <v>3563</v>
      </c>
      <c r="G50" s="1557"/>
      <c r="H50" s="1557"/>
      <c r="J50" s="833"/>
      <c r="K50" s="833"/>
      <c r="AS50" s="1465"/>
    </row>
    <row r="51" spans="1:45" hidden="1">
      <c r="A51" s="1573">
        <v>41640</v>
      </c>
      <c r="B51" s="1582">
        <v>0</v>
      </c>
      <c r="C51" s="1575">
        <v>47</v>
      </c>
      <c r="D51" s="1576">
        <v>2</v>
      </c>
      <c r="E51" s="1575">
        <f>SUM(B51:D51)</f>
        <v>49</v>
      </c>
      <c r="F51" s="1577">
        <f>E51</f>
        <v>49</v>
      </c>
      <c r="G51" s="1557"/>
      <c r="H51" s="1557"/>
      <c r="J51" s="833"/>
      <c r="K51" s="833"/>
      <c r="AS51" s="1465"/>
    </row>
    <row r="52" spans="1:45" hidden="1">
      <c r="A52" s="1558">
        <v>41671</v>
      </c>
      <c r="B52" s="1583">
        <v>0</v>
      </c>
      <c r="C52" s="1560">
        <v>53</v>
      </c>
      <c r="D52" s="1561">
        <v>1</v>
      </c>
      <c r="E52" s="1560">
        <f t="shared" ref="E52:E62" si="1">SUM(B52:D52)</f>
        <v>54</v>
      </c>
      <c r="F52" s="1562">
        <f>E51+E52</f>
        <v>103</v>
      </c>
      <c r="G52" s="1557"/>
      <c r="H52" s="1557"/>
      <c r="J52" s="833"/>
      <c r="K52" s="833"/>
      <c r="AS52" s="1465"/>
    </row>
    <row r="53" spans="1:45" hidden="1">
      <c r="A53" s="1558">
        <v>41699</v>
      </c>
      <c r="B53" s="1583">
        <v>0</v>
      </c>
      <c r="C53" s="1560">
        <v>53</v>
      </c>
      <c r="D53" s="1561">
        <v>1</v>
      </c>
      <c r="E53" s="1560">
        <f t="shared" si="1"/>
        <v>54</v>
      </c>
      <c r="F53" s="1562">
        <f>E51+E52+E53</f>
        <v>157</v>
      </c>
      <c r="G53" s="1557"/>
      <c r="H53" s="1557"/>
      <c r="J53" s="833"/>
      <c r="K53" s="833"/>
      <c r="AS53" s="1465"/>
    </row>
    <row r="54" spans="1:45" hidden="1">
      <c r="A54" s="1573">
        <v>41730</v>
      </c>
      <c r="B54" s="1587">
        <v>0</v>
      </c>
      <c r="C54" s="1575">
        <v>45</v>
      </c>
      <c r="D54" s="1576">
        <v>0</v>
      </c>
      <c r="E54" s="1575">
        <f t="shared" si="1"/>
        <v>45</v>
      </c>
      <c r="F54" s="1577">
        <f>SUM(E51:E54)</f>
        <v>202</v>
      </c>
      <c r="G54" s="1557"/>
      <c r="H54" s="1557"/>
      <c r="J54" s="833"/>
      <c r="K54" s="833"/>
      <c r="AS54" s="1465"/>
    </row>
    <row r="55" spans="1:45" hidden="1">
      <c r="A55" s="1558">
        <v>41760</v>
      </c>
      <c r="B55" s="1563">
        <v>0</v>
      </c>
      <c r="C55" s="1560">
        <v>52</v>
      </c>
      <c r="D55" s="1561">
        <v>1</v>
      </c>
      <c r="E55" s="1560">
        <f t="shared" si="1"/>
        <v>53</v>
      </c>
      <c r="F55" s="1562">
        <f>SUM(E51:E55)</f>
        <v>255</v>
      </c>
      <c r="G55" s="1557"/>
      <c r="H55" s="1557"/>
      <c r="J55" s="833"/>
      <c r="K55" s="833"/>
      <c r="AS55" s="1465"/>
    </row>
    <row r="56" spans="1:45" hidden="1">
      <c r="A56" s="1558">
        <v>41791</v>
      </c>
      <c r="B56" s="1588">
        <v>0</v>
      </c>
      <c r="C56" s="1566">
        <v>54</v>
      </c>
      <c r="D56" s="1567">
        <v>1</v>
      </c>
      <c r="E56" s="1566">
        <f t="shared" si="1"/>
        <v>55</v>
      </c>
      <c r="F56" s="1568">
        <f>SUM(E51:E56)</f>
        <v>310</v>
      </c>
      <c r="G56" s="1557"/>
      <c r="H56" s="1557"/>
      <c r="J56" s="833"/>
      <c r="K56" s="833"/>
      <c r="AS56" s="1465"/>
    </row>
    <row r="57" spans="1:45" hidden="1">
      <c r="A57" s="1558">
        <v>41821</v>
      </c>
      <c r="B57" s="1588">
        <v>3</v>
      </c>
      <c r="C57" s="1566">
        <v>70</v>
      </c>
      <c r="D57" s="1567">
        <v>2</v>
      </c>
      <c r="E57" s="1566">
        <f t="shared" si="1"/>
        <v>75</v>
      </c>
      <c r="F57" s="1568">
        <f>SUM(E51:E57)</f>
        <v>385</v>
      </c>
      <c r="G57" s="1557"/>
      <c r="H57" s="1557"/>
      <c r="J57" s="833"/>
      <c r="K57" s="833"/>
      <c r="AS57" s="1465"/>
    </row>
    <row r="58" spans="1:45" hidden="1">
      <c r="A58" s="1558">
        <v>41852</v>
      </c>
      <c r="B58" s="1588">
        <v>0</v>
      </c>
      <c r="C58" s="1566">
        <v>75</v>
      </c>
      <c r="D58" s="1567">
        <v>2</v>
      </c>
      <c r="E58" s="1566">
        <f t="shared" si="1"/>
        <v>77</v>
      </c>
      <c r="F58" s="1568">
        <f>SUM(E51:E58)</f>
        <v>462</v>
      </c>
      <c r="G58" s="1557"/>
      <c r="H58" s="1557"/>
      <c r="J58" s="833"/>
      <c r="K58" s="833"/>
      <c r="AS58" s="1465"/>
    </row>
    <row r="59" spans="1:45" hidden="1">
      <c r="A59" s="1558">
        <v>41883</v>
      </c>
      <c r="B59" s="1588">
        <v>2</v>
      </c>
      <c r="C59" s="1566">
        <v>67</v>
      </c>
      <c r="D59" s="1567">
        <v>2</v>
      </c>
      <c r="E59" s="1566">
        <f t="shared" si="1"/>
        <v>71</v>
      </c>
      <c r="F59" s="1568">
        <f>SUM(E48:E59)</f>
        <v>1196</v>
      </c>
      <c r="G59" s="1557"/>
      <c r="H59" s="1557"/>
      <c r="J59" s="833"/>
      <c r="K59" s="833"/>
      <c r="AS59" s="1465"/>
    </row>
    <row r="60" spans="1:45" hidden="1">
      <c r="A60" s="1558">
        <v>41913</v>
      </c>
      <c r="B60" s="1588">
        <v>2</v>
      </c>
      <c r="C60" s="1566">
        <v>49</v>
      </c>
      <c r="D60" s="1567">
        <v>0</v>
      </c>
      <c r="E60" s="1566">
        <f t="shared" si="1"/>
        <v>51</v>
      </c>
      <c r="F60" s="1568">
        <f>SUM(E49:E60)</f>
        <v>1215</v>
      </c>
      <c r="G60" s="1557"/>
      <c r="H60" s="1557"/>
      <c r="J60" s="833"/>
      <c r="K60" s="833"/>
      <c r="AS60" s="1465"/>
    </row>
    <row r="61" spans="1:45" hidden="1">
      <c r="A61" s="1558">
        <v>41944</v>
      </c>
      <c r="B61" s="1588">
        <v>2</v>
      </c>
      <c r="C61" s="1566">
        <v>50</v>
      </c>
      <c r="D61" s="1567">
        <v>0</v>
      </c>
      <c r="E61" s="1566">
        <f t="shared" si="1"/>
        <v>52</v>
      </c>
      <c r="F61" s="1568">
        <f>SUM(E49:E61)</f>
        <v>1267</v>
      </c>
      <c r="G61" s="1557"/>
      <c r="H61" s="1557"/>
      <c r="J61" s="833"/>
      <c r="K61" s="833"/>
      <c r="AS61" s="1465"/>
    </row>
    <row r="62" spans="1:45" hidden="1">
      <c r="A62" s="1564">
        <v>41974</v>
      </c>
      <c r="B62" s="1588">
        <v>1</v>
      </c>
      <c r="C62" s="1566">
        <v>50</v>
      </c>
      <c r="D62" s="1567">
        <v>0</v>
      </c>
      <c r="E62" s="1566">
        <f t="shared" si="1"/>
        <v>51</v>
      </c>
      <c r="F62" s="1568">
        <f>SUM(E51:E62)</f>
        <v>687</v>
      </c>
      <c r="G62" s="1557"/>
      <c r="H62" s="1557"/>
      <c r="J62" s="833"/>
      <c r="K62" s="833"/>
      <c r="AS62" s="1465"/>
    </row>
    <row r="63" spans="1:45">
      <c r="A63" s="1578" t="s">
        <v>661</v>
      </c>
      <c r="B63" s="1589">
        <f>SUM(B51:B62)</f>
        <v>10</v>
      </c>
      <c r="C63" s="1580">
        <f>SUM(C51:C62)</f>
        <v>665</v>
      </c>
      <c r="D63" s="1590">
        <f>SUM(D51:D62)</f>
        <v>12</v>
      </c>
      <c r="E63" s="1580">
        <f>SUM(E51:E62)</f>
        <v>687</v>
      </c>
      <c r="F63" s="1591">
        <f>SUM(F51:F62)</f>
        <v>6288</v>
      </c>
      <c r="G63" s="1557"/>
      <c r="H63" s="1557"/>
      <c r="J63" s="833"/>
      <c r="K63" s="833"/>
      <c r="AS63" s="1465"/>
    </row>
    <row r="64" spans="1:45" hidden="1">
      <c r="A64" s="1573">
        <v>42005</v>
      </c>
      <c r="B64" s="1592">
        <v>1</v>
      </c>
      <c r="C64" s="1593">
        <v>55</v>
      </c>
      <c r="D64" s="1557">
        <v>0</v>
      </c>
      <c r="E64" s="1593">
        <f>SUM(B64:D64)</f>
        <v>56</v>
      </c>
      <c r="F64" s="1594">
        <f>E64</f>
        <v>56</v>
      </c>
      <c r="G64" s="1557"/>
      <c r="H64" s="1557"/>
      <c r="J64" s="833"/>
      <c r="K64" s="833"/>
      <c r="AS64" s="1465"/>
    </row>
    <row r="65" spans="1:45" hidden="1">
      <c r="A65" s="1558">
        <v>42036</v>
      </c>
      <c r="B65" s="1588">
        <v>0</v>
      </c>
      <c r="C65" s="1566">
        <v>63</v>
      </c>
      <c r="D65" s="1567">
        <v>1</v>
      </c>
      <c r="E65" s="1566">
        <f t="shared" ref="E65:E70" si="2">SUM(B65:D65)</f>
        <v>64</v>
      </c>
      <c r="F65" s="1568">
        <f t="shared" ref="F65:F75" si="3">F64+E65</f>
        <v>120</v>
      </c>
      <c r="G65" s="1557"/>
      <c r="H65" s="1557"/>
      <c r="J65" s="833"/>
      <c r="K65" s="833"/>
      <c r="AS65" s="1465"/>
    </row>
    <row r="66" spans="1:45" hidden="1">
      <c r="A66" s="1558">
        <v>42064</v>
      </c>
      <c r="B66" s="1588">
        <v>0</v>
      </c>
      <c r="C66" s="1566">
        <v>23</v>
      </c>
      <c r="D66" s="1567">
        <v>1</v>
      </c>
      <c r="E66" s="1566">
        <f t="shared" si="2"/>
        <v>24</v>
      </c>
      <c r="F66" s="1568">
        <f t="shared" si="3"/>
        <v>144</v>
      </c>
      <c r="G66" s="1557"/>
      <c r="H66" s="1557"/>
      <c r="J66" s="833"/>
      <c r="K66" s="833"/>
      <c r="AS66" s="1465"/>
    </row>
    <row r="67" spans="1:45" hidden="1">
      <c r="A67" s="1558">
        <v>42095</v>
      </c>
      <c r="B67" s="1588">
        <v>0</v>
      </c>
      <c r="C67" s="1566">
        <v>65</v>
      </c>
      <c r="D67" s="1567">
        <v>0</v>
      </c>
      <c r="E67" s="1566">
        <f t="shared" si="2"/>
        <v>65</v>
      </c>
      <c r="F67" s="1568">
        <f t="shared" si="3"/>
        <v>209</v>
      </c>
      <c r="G67" s="1557"/>
      <c r="H67" s="1557"/>
      <c r="J67" s="833"/>
      <c r="K67" s="833"/>
      <c r="AS67" s="1465"/>
    </row>
    <row r="68" spans="1:45" hidden="1">
      <c r="A68" s="1558">
        <v>42125</v>
      </c>
      <c r="B68" s="1588">
        <v>0</v>
      </c>
      <c r="C68" s="1566">
        <v>48</v>
      </c>
      <c r="D68" s="1567">
        <v>1</v>
      </c>
      <c r="E68" s="1566">
        <f t="shared" si="2"/>
        <v>49</v>
      </c>
      <c r="F68" s="1568">
        <f t="shared" si="3"/>
        <v>258</v>
      </c>
      <c r="G68" s="1557"/>
      <c r="H68" s="1557"/>
      <c r="J68" s="833"/>
      <c r="K68" s="833"/>
      <c r="AS68" s="1465"/>
    </row>
    <row r="69" spans="1:45" hidden="1">
      <c r="A69" s="1558">
        <v>42156</v>
      </c>
      <c r="B69" s="1588">
        <v>0</v>
      </c>
      <c r="C69" s="1566">
        <v>46</v>
      </c>
      <c r="D69" s="1567">
        <v>0</v>
      </c>
      <c r="E69" s="1566">
        <f t="shared" si="2"/>
        <v>46</v>
      </c>
      <c r="F69" s="1568">
        <f t="shared" si="3"/>
        <v>304</v>
      </c>
      <c r="G69" s="1557"/>
      <c r="H69" s="1557"/>
      <c r="J69" s="833"/>
      <c r="K69" s="833"/>
      <c r="AS69" s="1465"/>
    </row>
    <row r="70" spans="1:45" hidden="1">
      <c r="A70" s="1558">
        <v>42186</v>
      </c>
      <c r="B70" s="1588">
        <v>0</v>
      </c>
      <c r="C70" s="1566">
        <v>71</v>
      </c>
      <c r="D70" s="1567">
        <v>1</v>
      </c>
      <c r="E70" s="1566">
        <f t="shared" si="2"/>
        <v>72</v>
      </c>
      <c r="F70" s="1568">
        <f t="shared" si="3"/>
        <v>376</v>
      </c>
      <c r="G70" s="1557"/>
      <c r="H70" s="1557"/>
      <c r="J70" s="833"/>
      <c r="K70" s="833"/>
      <c r="AS70" s="1465"/>
    </row>
    <row r="71" spans="1:45" hidden="1">
      <c r="A71" s="1558">
        <v>42217</v>
      </c>
      <c r="B71" s="1588">
        <v>0</v>
      </c>
      <c r="C71" s="1566">
        <v>79</v>
      </c>
      <c r="D71" s="1567">
        <v>1</v>
      </c>
      <c r="E71" s="1566">
        <f>SUM(B71:D71)</f>
        <v>80</v>
      </c>
      <c r="F71" s="1568">
        <f t="shared" si="3"/>
        <v>456</v>
      </c>
      <c r="G71" s="1557"/>
      <c r="H71" s="1557"/>
      <c r="J71" s="833"/>
      <c r="K71" s="833"/>
      <c r="AS71" s="1465"/>
    </row>
    <row r="72" spans="1:45" hidden="1">
      <c r="A72" s="1558">
        <v>42248</v>
      </c>
      <c r="B72" s="1588">
        <v>1</v>
      </c>
      <c r="C72" s="1566">
        <v>40</v>
      </c>
      <c r="D72" s="1567">
        <v>1</v>
      </c>
      <c r="E72" s="1566">
        <f>SUM(B72:D72)</f>
        <v>42</v>
      </c>
      <c r="F72" s="1568">
        <f t="shared" si="3"/>
        <v>498</v>
      </c>
      <c r="G72" s="1557"/>
      <c r="H72" s="1557"/>
      <c r="J72" s="833"/>
      <c r="K72" s="833"/>
      <c r="AS72" s="1465"/>
    </row>
    <row r="73" spans="1:45" hidden="1">
      <c r="A73" s="1558">
        <v>42278</v>
      </c>
      <c r="B73" s="1588">
        <v>2</v>
      </c>
      <c r="C73" s="1566">
        <v>47</v>
      </c>
      <c r="D73" s="1567">
        <v>1</v>
      </c>
      <c r="E73" s="1566">
        <f t="shared" ref="E73:E81" si="4">SUM(B73:D73)</f>
        <v>50</v>
      </c>
      <c r="F73" s="1568">
        <f t="shared" si="3"/>
        <v>548</v>
      </c>
      <c r="G73" s="1557"/>
      <c r="H73" s="1557"/>
      <c r="J73" s="833"/>
      <c r="K73" s="833"/>
      <c r="AS73" s="1465"/>
    </row>
    <row r="74" spans="1:45" hidden="1">
      <c r="A74" s="1558">
        <v>42309</v>
      </c>
      <c r="B74" s="1588">
        <v>0</v>
      </c>
      <c r="C74" s="1566">
        <v>42</v>
      </c>
      <c r="D74" s="1567">
        <v>1</v>
      </c>
      <c r="E74" s="1566">
        <f t="shared" si="4"/>
        <v>43</v>
      </c>
      <c r="F74" s="1568">
        <f t="shared" si="3"/>
        <v>591</v>
      </c>
      <c r="G74" s="1557"/>
      <c r="H74" s="1557"/>
      <c r="J74" s="833"/>
      <c r="K74" s="833"/>
      <c r="AS74" s="1465"/>
    </row>
    <row r="75" spans="1:45" hidden="1">
      <c r="A75" s="1564">
        <v>42339</v>
      </c>
      <c r="B75" s="1588">
        <v>0</v>
      </c>
      <c r="C75" s="1566">
        <v>81</v>
      </c>
      <c r="D75" s="1567">
        <v>0</v>
      </c>
      <c r="E75" s="1566">
        <f t="shared" si="4"/>
        <v>81</v>
      </c>
      <c r="F75" s="1568">
        <f t="shared" si="3"/>
        <v>672</v>
      </c>
      <c r="G75" s="1557" t="s">
        <v>536</v>
      </c>
      <c r="H75" s="1557"/>
      <c r="J75" s="833"/>
      <c r="K75" s="833"/>
      <c r="AS75" s="1465"/>
    </row>
    <row r="76" spans="1:45">
      <c r="A76" s="1578" t="s">
        <v>662</v>
      </c>
      <c r="B76" s="1589">
        <f>SUM(B64:B75)</f>
        <v>4</v>
      </c>
      <c r="C76" s="1580">
        <f>SUM(C64:C75)</f>
        <v>660</v>
      </c>
      <c r="D76" s="1590">
        <f>SUM(D64:D75)</f>
        <v>8</v>
      </c>
      <c r="E76" s="1580">
        <f>SUM(E64:E75)</f>
        <v>672</v>
      </c>
      <c r="F76" s="1591">
        <f>SUM(F64:F75)</f>
        <v>4232</v>
      </c>
      <c r="G76" s="1557"/>
      <c r="H76" s="1557"/>
      <c r="J76" s="833"/>
      <c r="K76" s="833"/>
      <c r="AN76" s="1465"/>
    </row>
    <row r="77" spans="1:45" hidden="1">
      <c r="A77" s="1573">
        <v>42370</v>
      </c>
      <c r="B77" s="1592">
        <v>0</v>
      </c>
      <c r="C77" s="1593">
        <v>35</v>
      </c>
      <c r="D77" s="1557">
        <v>1</v>
      </c>
      <c r="E77" s="1593">
        <f t="shared" si="4"/>
        <v>36</v>
      </c>
      <c r="F77" s="1594">
        <f>E77</f>
        <v>36</v>
      </c>
      <c r="G77" s="1557"/>
      <c r="H77" s="1557"/>
      <c r="J77" s="833"/>
      <c r="K77" s="833"/>
      <c r="AS77" s="1465"/>
    </row>
    <row r="78" spans="1:45" hidden="1">
      <c r="A78" s="1558">
        <v>42401</v>
      </c>
      <c r="B78" s="1588">
        <v>0</v>
      </c>
      <c r="C78" s="1566">
        <v>45</v>
      </c>
      <c r="D78" s="1567">
        <v>0</v>
      </c>
      <c r="E78" s="1566">
        <f t="shared" si="4"/>
        <v>45</v>
      </c>
      <c r="F78" s="1568">
        <f>F77+E78</f>
        <v>81</v>
      </c>
      <c r="G78" s="1557"/>
      <c r="H78" s="1557"/>
      <c r="J78" s="833"/>
      <c r="K78" s="833"/>
      <c r="AS78" s="1465"/>
    </row>
    <row r="79" spans="1:45" hidden="1">
      <c r="A79" s="1558">
        <v>42430</v>
      </c>
      <c r="B79" s="1588">
        <v>4</v>
      </c>
      <c r="C79" s="1566">
        <v>60</v>
      </c>
      <c r="D79" s="1567">
        <v>0</v>
      </c>
      <c r="E79" s="1566">
        <f t="shared" si="4"/>
        <v>64</v>
      </c>
      <c r="F79" s="1568">
        <f>F78+E79</f>
        <v>145</v>
      </c>
      <c r="G79" s="1557"/>
      <c r="H79" s="1557"/>
      <c r="J79" s="833"/>
      <c r="K79" s="833"/>
      <c r="AS79" s="1465"/>
    </row>
    <row r="80" spans="1:45" hidden="1">
      <c r="A80" s="1558">
        <v>42461</v>
      </c>
      <c r="B80" s="1588">
        <v>1</v>
      </c>
      <c r="C80" s="1566">
        <v>80</v>
      </c>
      <c r="D80" s="1567">
        <v>1</v>
      </c>
      <c r="E80" s="1566">
        <f t="shared" si="4"/>
        <v>82</v>
      </c>
      <c r="F80" s="1568">
        <f>F79+E80</f>
        <v>227</v>
      </c>
      <c r="G80" s="1557"/>
      <c r="H80" s="1557"/>
      <c r="J80" s="833"/>
      <c r="K80" s="833"/>
      <c r="AS80" s="1465"/>
    </row>
    <row r="81" spans="1:45" hidden="1">
      <c r="A81" s="1558">
        <v>42491</v>
      </c>
      <c r="B81" s="1588">
        <v>1</v>
      </c>
      <c r="C81" s="1566">
        <v>79</v>
      </c>
      <c r="D81" s="1567">
        <v>0</v>
      </c>
      <c r="E81" s="1566">
        <f t="shared" si="4"/>
        <v>80</v>
      </c>
      <c r="F81" s="1568">
        <f>F80+E81</f>
        <v>307</v>
      </c>
      <c r="G81" s="1557"/>
      <c r="H81" s="1557"/>
      <c r="J81" s="833"/>
      <c r="K81" s="833"/>
      <c r="AS81" s="1465"/>
    </row>
    <row r="82" spans="1:45" hidden="1">
      <c r="A82" s="1558">
        <v>42522</v>
      </c>
      <c r="B82" s="1588">
        <v>0</v>
      </c>
      <c r="C82" s="1566">
        <v>88</v>
      </c>
      <c r="D82" s="1567">
        <v>0</v>
      </c>
      <c r="E82" s="1566">
        <f t="shared" ref="E82:E87" si="5">SUM(B82:D82)</f>
        <v>88</v>
      </c>
      <c r="F82" s="1568">
        <f>F81+E82</f>
        <v>395</v>
      </c>
      <c r="G82" s="1557"/>
      <c r="H82" s="1557"/>
      <c r="I82" s="1557"/>
      <c r="J82" s="833"/>
      <c r="K82" s="833"/>
      <c r="AS82" s="1465"/>
    </row>
    <row r="83" spans="1:45" hidden="1">
      <c r="A83" s="1558">
        <v>42552</v>
      </c>
      <c r="B83" s="1588">
        <v>0</v>
      </c>
      <c r="C83" s="1566">
        <v>57</v>
      </c>
      <c r="D83" s="1567">
        <v>0</v>
      </c>
      <c r="E83" s="1566">
        <f t="shared" si="5"/>
        <v>57</v>
      </c>
      <c r="F83" s="1568">
        <f t="shared" ref="F83:F88" si="6">F82+E83</f>
        <v>452</v>
      </c>
      <c r="G83" s="1557"/>
      <c r="H83" s="1557"/>
      <c r="I83" s="1557"/>
      <c r="J83" s="833"/>
      <c r="K83" s="833"/>
      <c r="AS83" s="1465"/>
    </row>
    <row r="84" spans="1:45" hidden="1">
      <c r="A84" s="1558">
        <v>42583</v>
      </c>
      <c r="B84" s="1588">
        <v>0</v>
      </c>
      <c r="C84" s="1566">
        <v>92</v>
      </c>
      <c r="D84" s="1567">
        <v>0</v>
      </c>
      <c r="E84" s="1566">
        <f t="shared" si="5"/>
        <v>92</v>
      </c>
      <c r="F84" s="1568">
        <f t="shared" si="6"/>
        <v>544</v>
      </c>
      <c r="G84" s="1557"/>
      <c r="H84" s="1557"/>
      <c r="I84" s="1557"/>
      <c r="J84" s="833"/>
      <c r="K84" s="833"/>
      <c r="AS84" s="1465"/>
    </row>
    <row r="85" spans="1:45" hidden="1">
      <c r="A85" s="1558">
        <v>42614</v>
      </c>
      <c r="B85" s="1588">
        <v>0</v>
      </c>
      <c r="C85" s="1566">
        <v>67</v>
      </c>
      <c r="D85" s="1567">
        <v>0</v>
      </c>
      <c r="E85" s="1566">
        <f t="shared" si="5"/>
        <v>67</v>
      </c>
      <c r="F85" s="1568">
        <f t="shared" si="6"/>
        <v>611</v>
      </c>
      <c r="G85" s="1557"/>
      <c r="H85" s="1557"/>
      <c r="I85" s="1557"/>
      <c r="J85" s="833"/>
      <c r="K85" s="833"/>
      <c r="AS85" s="1465"/>
    </row>
    <row r="86" spans="1:45" hidden="1">
      <c r="A86" s="1558">
        <v>42644</v>
      </c>
      <c r="B86" s="1588">
        <v>0</v>
      </c>
      <c r="C86" s="1566">
        <v>100</v>
      </c>
      <c r="D86" s="1567">
        <v>0</v>
      </c>
      <c r="E86" s="1566">
        <f t="shared" si="5"/>
        <v>100</v>
      </c>
      <c r="F86" s="1568">
        <f t="shared" si="6"/>
        <v>711</v>
      </c>
      <c r="G86" s="1557"/>
      <c r="H86" s="1557"/>
      <c r="I86" s="1557"/>
      <c r="J86" s="833"/>
      <c r="K86" s="833"/>
      <c r="AS86" s="1465"/>
    </row>
    <row r="87" spans="1:45" hidden="1">
      <c r="A87" s="1558">
        <v>42675</v>
      </c>
      <c r="B87" s="1588">
        <v>0</v>
      </c>
      <c r="C87" s="1566">
        <v>141</v>
      </c>
      <c r="D87" s="1567">
        <v>0</v>
      </c>
      <c r="E87" s="1566">
        <f t="shared" si="5"/>
        <v>141</v>
      </c>
      <c r="F87" s="1568">
        <f t="shared" si="6"/>
        <v>852</v>
      </c>
      <c r="G87" s="1557"/>
      <c r="H87" s="1557"/>
      <c r="I87" s="1557"/>
      <c r="J87" s="833"/>
      <c r="K87" s="833"/>
      <c r="AS87" s="1465"/>
    </row>
    <row r="88" spans="1:45" hidden="1">
      <c r="A88" s="1564">
        <v>42705</v>
      </c>
      <c r="B88" s="1588">
        <v>0</v>
      </c>
      <c r="C88" s="1566">
        <v>65</v>
      </c>
      <c r="D88" s="1567">
        <v>0</v>
      </c>
      <c r="E88" s="1566">
        <f>SUM(B88:D88)</f>
        <v>65</v>
      </c>
      <c r="F88" s="1568">
        <f t="shared" si="6"/>
        <v>917</v>
      </c>
      <c r="G88" s="1557"/>
      <c r="H88" s="1557"/>
      <c r="I88" s="1557"/>
      <c r="J88" s="833"/>
      <c r="K88" s="833"/>
      <c r="AS88" s="1465"/>
    </row>
    <row r="89" spans="1:45">
      <c r="A89" s="1578" t="s">
        <v>663</v>
      </c>
      <c r="B89" s="1579">
        <f>SUM(B77:B88)</f>
        <v>6</v>
      </c>
      <c r="C89" s="1580">
        <f>SUM(C77:C88)</f>
        <v>909</v>
      </c>
      <c r="D89" s="1580">
        <f>SUM(D77:D88)</f>
        <v>2</v>
      </c>
      <c r="E89" s="1580">
        <f>SUM(E77:E88)</f>
        <v>917</v>
      </c>
      <c r="F89" s="1581">
        <f>F76+F88</f>
        <v>5149</v>
      </c>
      <c r="G89" s="1557"/>
      <c r="H89" s="1557"/>
      <c r="I89" s="1557"/>
      <c r="J89" s="833"/>
      <c r="K89" s="833"/>
      <c r="AS89" s="1465"/>
    </row>
    <row r="90" spans="1:45" ht="15" thickBot="1">
      <c r="A90" s="1595" t="s">
        <v>775</v>
      </c>
      <c r="B90" s="1596">
        <f>SUM(B91:B102)</f>
        <v>0</v>
      </c>
      <c r="C90" s="1597">
        <f>SUM(C91:C102)</f>
        <v>675</v>
      </c>
      <c r="D90" s="1597">
        <f>SUM(D91:D102)</f>
        <v>0</v>
      </c>
      <c r="E90" s="1597">
        <f>SUM(E91:E102)</f>
        <v>675</v>
      </c>
      <c r="F90" s="1598">
        <f>F102+F89</f>
        <v>5824</v>
      </c>
      <c r="G90" s="1557"/>
      <c r="H90" s="1557"/>
      <c r="I90" s="1557"/>
      <c r="J90" s="833"/>
      <c r="K90" s="833"/>
      <c r="AS90" s="1465"/>
    </row>
    <row r="91" spans="1:45" ht="15" hidden="1" customHeight="1">
      <c r="A91" s="1573">
        <v>42736</v>
      </c>
      <c r="B91" s="1574">
        <v>0</v>
      </c>
      <c r="C91" s="1575">
        <v>81</v>
      </c>
      <c r="D91" s="1575">
        <v>0</v>
      </c>
      <c r="E91" s="1575">
        <f t="shared" ref="E91:E96" si="7">SUM(B91:D91)</f>
        <v>81</v>
      </c>
      <c r="F91" s="1577">
        <f>E91</f>
        <v>81</v>
      </c>
      <c r="G91" s="1557"/>
      <c r="H91" s="1557"/>
      <c r="I91" s="1557"/>
      <c r="J91" s="833"/>
      <c r="K91" s="833"/>
      <c r="AS91" s="1465"/>
    </row>
    <row r="92" spans="1:45" ht="15" hidden="1" customHeight="1">
      <c r="A92" s="1558">
        <v>42767</v>
      </c>
      <c r="B92" s="1559">
        <v>0</v>
      </c>
      <c r="C92" s="1560">
        <v>49</v>
      </c>
      <c r="D92" s="1560">
        <v>0</v>
      </c>
      <c r="E92" s="1560">
        <f t="shared" si="7"/>
        <v>49</v>
      </c>
      <c r="F92" s="1562">
        <f>+E92+F91</f>
        <v>130</v>
      </c>
      <c r="G92" s="1557"/>
      <c r="H92" s="1557"/>
      <c r="I92" s="1557"/>
      <c r="J92" s="833"/>
      <c r="K92" s="833"/>
      <c r="AS92" s="1465"/>
    </row>
    <row r="93" spans="1:45" ht="15" hidden="1" customHeight="1">
      <c r="A93" s="1558">
        <v>42795</v>
      </c>
      <c r="B93" s="1559">
        <v>0</v>
      </c>
      <c r="C93" s="1560">
        <v>40</v>
      </c>
      <c r="D93" s="1560">
        <v>0</v>
      </c>
      <c r="E93" s="1560">
        <f t="shared" si="7"/>
        <v>40</v>
      </c>
      <c r="F93" s="1562">
        <f>+E93+F92</f>
        <v>170</v>
      </c>
      <c r="G93" s="1557"/>
      <c r="H93" s="1557"/>
      <c r="I93" s="1557"/>
      <c r="J93" s="833"/>
      <c r="K93" s="833"/>
      <c r="AS93" s="1465"/>
    </row>
    <row r="94" spans="1:45" ht="15" hidden="1" customHeight="1">
      <c r="A94" s="1558">
        <v>42826</v>
      </c>
      <c r="B94" s="1559">
        <v>0</v>
      </c>
      <c r="C94" s="1560">
        <v>33</v>
      </c>
      <c r="D94" s="1560">
        <v>0</v>
      </c>
      <c r="E94" s="1560">
        <f t="shared" si="7"/>
        <v>33</v>
      </c>
      <c r="F94" s="1562">
        <f t="shared" ref="F94:F101" si="8">F93+E94</f>
        <v>203</v>
      </c>
      <c r="G94" s="1557"/>
      <c r="H94" s="1557"/>
      <c r="I94" s="1557"/>
      <c r="J94" s="833"/>
      <c r="K94" s="833"/>
      <c r="AS94" s="1465"/>
    </row>
    <row r="95" spans="1:45" ht="15" hidden="1" customHeight="1">
      <c r="A95" s="1558">
        <v>42856</v>
      </c>
      <c r="B95" s="1559">
        <v>0</v>
      </c>
      <c r="C95" s="1560">
        <v>68</v>
      </c>
      <c r="D95" s="1560">
        <v>0</v>
      </c>
      <c r="E95" s="1560">
        <f t="shared" si="7"/>
        <v>68</v>
      </c>
      <c r="F95" s="1562">
        <f t="shared" si="8"/>
        <v>271</v>
      </c>
      <c r="G95" s="1557"/>
      <c r="H95" s="1557"/>
      <c r="I95" s="1557"/>
      <c r="J95" s="833"/>
      <c r="K95" s="833"/>
      <c r="AS95" s="1465"/>
    </row>
    <row r="96" spans="1:45" ht="15" hidden="1" customHeight="1">
      <c r="A96" s="1558">
        <v>42887</v>
      </c>
      <c r="B96" s="1559">
        <v>0</v>
      </c>
      <c r="C96" s="1560">
        <v>78</v>
      </c>
      <c r="D96" s="1560">
        <v>0</v>
      </c>
      <c r="E96" s="1560">
        <f t="shared" si="7"/>
        <v>78</v>
      </c>
      <c r="F96" s="1562">
        <f t="shared" si="8"/>
        <v>349</v>
      </c>
      <c r="G96" s="1557"/>
      <c r="H96" s="1557"/>
      <c r="I96" s="1557"/>
      <c r="J96" s="833"/>
      <c r="K96" s="833"/>
      <c r="AS96" s="1465"/>
    </row>
    <row r="97" spans="1:45" ht="15" hidden="1" customHeight="1">
      <c r="A97" s="1558">
        <v>42917</v>
      </c>
      <c r="B97" s="1559">
        <v>0</v>
      </c>
      <c r="C97" s="1560">
        <v>49</v>
      </c>
      <c r="D97" s="1560">
        <v>0</v>
      </c>
      <c r="E97" s="1560">
        <v>49</v>
      </c>
      <c r="F97" s="1562">
        <f t="shared" si="8"/>
        <v>398</v>
      </c>
      <c r="G97" s="1557"/>
      <c r="H97" s="1557"/>
      <c r="I97" s="1557"/>
      <c r="J97" s="833"/>
      <c r="K97" s="833"/>
      <c r="AS97" s="1465"/>
    </row>
    <row r="98" spans="1:45" ht="15" hidden="1" customHeight="1">
      <c r="A98" s="1558">
        <v>42948</v>
      </c>
      <c r="B98" s="1559">
        <v>0</v>
      </c>
      <c r="C98" s="1560">
        <v>63</v>
      </c>
      <c r="D98" s="1560">
        <v>0</v>
      </c>
      <c r="E98" s="1560">
        <v>63</v>
      </c>
      <c r="F98" s="1562">
        <f t="shared" si="8"/>
        <v>461</v>
      </c>
      <c r="G98" s="1557"/>
      <c r="H98" s="1557"/>
      <c r="I98" s="1557"/>
      <c r="J98" s="833"/>
      <c r="K98" s="833"/>
      <c r="AS98" s="1465"/>
    </row>
    <row r="99" spans="1:45" ht="15" hidden="1" customHeight="1">
      <c r="A99" s="1558">
        <v>42979</v>
      </c>
      <c r="B99" s="1559">
        <v>0</v>
      </c>
      <c r="C99" s="1560">
        <v>51</v>
      </c>
      <c r="D99" s="1560">
        <v>0</v>
      </c>
      <c r="E99" s="1560">
        <v>51</v>
      </c>
      <c r="F99" s="1562">
        <f t="shared" si="8"/>
        <v>512</v>
      </c>
      <c r="G99" s="1557"/>
      <c r="H99" s="1557"/>
      <c r="I99" s="1557"/>
      <c r="J99" s="833"/>
      <c r="K99" s="833"/>
      <c r="AN99" s="1465"/>
    </row>
    <row r="100" spans="1:45" ht="15" hidden="1" customHeight="1">
      <c r="A100" s="1558">
        <v>43009</v>
      </c>
      <c r="B100" s="1559">
        <v>0</v>
      </c>
      <c r="C100" s="1560">
        <v>43</v>
      </c>
      <c r="D100" s="1560">
        <v>0</v>
      </c>
      <c r="E100" s="1560">
        <v>43</v>
      </c>
      <c r="F100" s="1562">
        <f t="shared" si="8"/>
        <v>555</v>
      </c>
      <c r="G100" s="1557"/>
      <c r="H100" s="1557"/>
      <c r="I100" s="1557"/>
      <c r="J100" s="833"/>
      <c r="K100" s="833"/>
      <c r="AS100" s="1465"/>
    </row>
    <row r="101" spans="1:45" ht="15" hidden="1" customHeight="1">
      <c r="A101" s="1558">
        <v>43040</v>
      </c>
      <c r="B101" s="1559">
        <v>0</v>
      </c>
      <c r="C101" s="1560">
        <v>49</v>
      </c>
      <c r="D101" s="1560">
        <v>0</v>
      </c>
      <c r="E101" s="1560">
        <v>49</v>
      </c>
      <c r="F101" s="1562">
        <f t="shared" si="8"/>
        <v>604</v>
      </c>
      <c r="G101" s="1557"/>
      <c r="H101" s="1557"/>
      <c r="I101" s="1557"/>
      <c r="J101" s="833"/>
      <c r="K101" s="833"/>
      <c r="AS101" s="1465"/>
    </row>
    <row r="102" spans="1:45" ht="15" hidden="1" customHeight="1" thickBot="1">
      <c r="A102" s="1564">
        <v>43070</v>
      </c>
      <c r="B102" s="1565">
        <v>0</v>
      </c>
      <c r="C102" s="1566">
        <v>71</v>
      </c>
      <c r="D102" s="1566">
        <v>0</v>
      </c>
      <c r="E102" s="1566">
        <v>71</v>
      </c>
      <c r="F102" s="1568">
        <f>F101+E102</f>
        <v>675</v>
      </c>
      <c r="G102" s="1557"/>
      <c r="H102" s="1557"/>
      <c r="I102" s="1557"/>
      <c r="J102" s="833"/>
      <c r="K102" s="833"/>
      <c r="AS102" s="1465"/>
    </row>
    <row r="103" spans="1:45" ht="15" customHeight="1">
      <c r="A103" s="2737">
        <v>43101</v>
      </c>
      <c r="B103" s="2738">
        <v>0</v>
      </c>
      <c r="C103" s="2738">
        <v>81</v>
      </c>
      <c r="D103" s="2738">
        <v>0</v>
      </c>
      <c r="E103" s="2738">
        <f t="shared" ref="E103:E107" si="9">SUM(B103:D103)</f>
        <v>81</v>
      </c>
      <c r="F103" s="1572">
        <f>+F102+E103</f>
        <v>756</v>
      </c>
      <c r="G103" s="1557"/>
      <c r="H103" s="1557"/>
      <c r="I103" s="1557"/>
      <c r="J103" s="833"/>
      <c r="K103" s="833"/>
      <c r="AS103" s="1465"/>
    </row>
    <row r="104" spans="1:45" ht="15" customHeight="1">
      <c r="A104" s="2739">
        <v>43132</v>
      </c>
      <c r="B104" s="1599">
        <v>0</v>
      </c>
      <c r="C104" s="1599">
        <v>66</v>
      </c>
      <c r="D104" s="1599">
        <v>0</v>
      </c>
      <c r="E104" s="1599">
        <f t="shared" si="9"/>
        <v>66</v>
      </c>
      <c r="F104" s="1581">
        <f>+F103+E104</f>
        <v>822</v>
      </c>
      <c r="G104" s="1557"/>
      <c r="H104" s="1557"/>
      <c r="I104" s="1557"/>
      <c r="J104" s="833"/>
      <c r="K104" s="833"/>
      <c r="AS104" s="1465"/>
    </row>
    <row r="105" spans="1:45" ht="15" customHeight="1">
      <c r="A105" s="2739">
        <v>43160</v>
      </c>
      <c r="B105" s="1599">
        <v>0</v>
      </c>
      <c r="C105" s="1599">
        <v>63</v>
      </c>
      <c r="D105" s="1599">
        <v>0</v>
      </c>
      <c r="E105" s="1599">
        <f t="shared" si="9"/>
        <v>63</v>
      </c>
      <c r="F105" s="1581">
        <f>+F104+E105</f>
        <v>885</v>
      </c>
      <c r="G105" s="1557"/>
      <c r="H105" s="1557"/>
      <c r="I105" s="1557"/>
      <c r="J105" s="833"/>
      <c r="K105" s="833"/>
      <c r="AS105" s="1465"/>
    </row>
    <row r="106" spans="1:45" ht="15" customHeight="1">
      <c r="A106" s="2739">
        <v>43191</v>
      </c>
      <c r="B106" s="1599">
        <v>0</v>
      </c>
      <c r="C106" s="1599">
        <v>70</v>
      </c>
      <c r="D106" s="1599">
        <v>0</v>
      </c>
      <c r="E106" s="1599">
        <f t="shared" si="9"/>
        <v>70</v>
      </c>
      <c r="F106" s="1581">
        <f>+F105+E106</f>
        <v>955</v>
      </c>
      <c r="G106" s="1557"/>
      <c r="H106" s="1557"/>
      <c r="I106" s="1557"/>
      <c r="J106" s="833"/>
      <c r="K106" s="833"/>
      <c r="AS106" s="1465"/>
    </row>
    <row r="107" spans="1:45" ht="15" customHeight="1">
      <c r="A107" s="2739">
        <v>43221</v>
      </c>
      <c r="B107" s="1599">
        <v>0</v>
      </c>
      <c r="C107" s="1599">
        <v>53</v>
      </c>
      <c r="D107" s="1599">
        <v>0</v>
      </c>
      <c r="E107" s="1599">
        <f t="shared" si="9"/>
        <v>53</v>
      </c>
      <c r="F107" s="1581">
        <f>+F106+E107</f>
        <v>1008</v>
      </c>
      <c r="G107" s="1557"/>
      <c r="H107" s="1557"/>
      <c r="I107" s="1557"/>
      <c r="J107" s="833"/>
      <c r="K107" s="833"/>
      <c r="AS107" s="1465"/>
    </row>
    <row r="108" spans="1:45" ht="15" customHeight="1">
      <c r="A108" s="2739">
        <v>43252</v>
      </c>
      <c r="B108" s="1599">
        <v>0</v>
      </c>
      <c r="C108" s="1599">
        <v>78</v>
      </c>
      <c r="D108" s="1599">
        <v>0</v>
      </c>
      <c r="E108" s="1599">
        <f t="shared" ref="E108" si="10">SUM(B108:D108)</f>
        <v>78</v>
      </c>
      <c r="F108" s="1581">
        <f>+E108+F106</f>
        <v>1033</v>
      </c>
      <c r="G108" s="1557"/>
      <c r="H108" s="1557"/>
      <c r="I108" s="1557"/>
      <c r="J108" s="833"/>
      <c r="K108" s="833"/>
      <c r="AS108" s="1465"/>
    </row>
    <row r="109" spans="1:45" ht="15" customHeight="1">
      <c r="A109" s="2739">
        <v>43282</v>
      </c>
      <c r="B109" s="1599">
        <v>0</v>
      </c>
      <c r="C109" s="1599">
        <v>75</v>
      </c>
      <c r="D109" s="1599">
        <v>0</v>
      </c>
      <c r="E109" s="1599">
        <v>75</v>
      </c>
      <c r="F109" s="1581">
        <f>+E109+F107</f>
        <v>1083</v>
      </c>
      <c r="G109" s="1557"/>
      <c r="H109" s="1557"/>
      <c r="I109" s="1557"/>
      <c r="J109" s="833"/>
      <c r="K109" s="833"/>
      <c r="AS109" s="1465"/>
    </row>
    <row r="110" spans="1:45" ht="15" customHeight="1">
      <c r="A110" s="2739">
        <v>43313</v>
      </c>
      <c r="B110" s="1599">
        <v>0</v>
      </c>
      <c r="C110" s="1599">
        <v>85</v>
      </c>
      <c r="D110" s="1599">
        <v>0</v>
      </c>
      <c r="E110" s="1599">
        <v>85</v>
      </c>
      <c r="F110" s="1581">
        <v>2565</v>
      </c>
      <c r="G110" s="1557"/>
      <c r="H110" s="1557"/>
      <c r="I110" s="1557"/>
      <c r="J110" s="833"/>
      <c r="K110" s="833"/>
      <c r="AS110" s="1465"/>
    </row>
    <row r="111" spans="1:45" ht="15" customHeight="1" thickBot="1">
      <c r="A111" s="2740">
        <v>43344</v>
      </c>
      <c r="B111" s="2741">
        <v>0</v>
      </c>
      <c r="C111" s="2741">
        <v>79</v>
      </c>
      <c r="D111" s="2741">
        <v>0</v>
      </c>
      <c r="E111" s="2741">
        <v>79</v>
      </c>
      <c r="F111" s="1598">
        <v>2644</v>
      </c>
      <c r="G111" s="1557"/>
      <c r="H111" s="1557"/>
      <c r="I111" s="1557"/>
      <c r="J111" s="833"/>
      <c r="K111" s="833"/>
      <c r="AS111" s="1465"/>
    </row>
    <row r="112" spans="1:45" ht="15" customHeight="1">
      <c r="A112" s="1600"/>
      <c r="B112" s="1557"/>
      <c r="C112" s="1557"/>
      <c r="D112" s="1557"/>
      <c r="E112" s="1557"/>
      <c r="F112" s="1557"/>
      <c r="G112" s="1557"/>
      <c r="H112" s="1557"/>
      <c r="I112" s="1557"/>
      <c r="J112" s="833"/>
      <c r="K112" s="833"/>
      <c r="AS112" s="1465"/>
    </row>
    <row r="113" spans="1:45" ht="15" customHeight="1">
      <c r="A113" s="1600"/>
      <c r="B113" s="1557"/>
      <c r="C113" s="1557"/>
      <c r="D113" s="1557"/>
      <c r="E113" s="1557"/>
      <c r="F113" s="1557"/>
      <c r="G113" s="1557"/>
      <c r="H113" s="1557"/>
      <c r="I113" s="1557"/>
      <c r="J113" s="833"/>
      <c r="K113" s="833"/>
      <c r="AS113" s="1465"/>
    </row>
    <row r="114" spans="1:45" ht="21.95" customHeight="1">
      <c r="A114" s="1600"/>
      <c r="B114" s="833"/>
      <c r="C114" s="833"/>
      <c r="D114" s="833"/>
      <c r="E114" s="833"/>
      <c r="F114" s="1601"/>
      <c r="G114" s="1557"/>
      <c r="H114" s="1557"/>
      <c r="I114" s="1557"/>
      <c r="J114" s="833"/>
      <c r="K114" s="833"/>
      <c r="AS114" s="1465"/>
    </row>
    <row r="115" spans="1:45" ht="234" customHeight="1">
      <c r="A115" s="1600"/>
      <c r="B115" s="833"/>
      <c r="C115" s="833"/>
      <c r="D115" s="833"/>
      <c r="E115" s="833"/>
      <c r="F115" s="1557"/>
      <c r="G115" s="1557"/>
      <c r="H115" s="833"/>
      <c r="I115" s="1557"/>
      <c r="J115" s="833"/>
      <c r="K115" s="833"/>
    </row>
    <row r="116" spans="1:45" ht="21.95" customHeight="1">
      <c r="A116" s="1600"/>
      <c r="B116" s="833"/>
      <c r="C116" s="833"/>
      <c r="D116" s="833"/>
      <c r="E116" s="833"/>
      <c r="F116" s="1557"/>
      <c r="G116" s="1557"/>
      <c r="H116" s="833"/>
      <c r="I116" s="1557"/>
      <c r="J116" s="833"/>
      <c r="K116" s="833"/>
    </row>
    <row r="117" spans="1:45">
      <c r="A117" s="833"/>
      <c r="B117" s="833"/>
      <c r="C117" s="833"/>
      <c r="D117" s="833"/>
      <c r="E117" s="833"/>
      <c r="F117" s="833"/>
      <c r="G117" s="833"/>
      <c r="H117" s="833"/>
      <c r="I117" s="1557"/>
      <c r="J117" s="833"/>
      <c r="K117" s="833"/>
    </row>
    <row r="118" spans="1:45">
      <c r="I118" s="1557"/>
    </row>
    <row r="386" spans="1:11">
      <c r="A386" s="1602"/>
      <c r="B386" s="1603"/>
      <c r="C386" s="1603"/>
      <c r="D386" s="1603"/>
      <c r="E386" s="1603"/>
      <c r="F386" s="1603"/>
      <c r="G386" s="1603"/>
      <c r="H386" s="1603"/>
      <c r="I386" s="1603"/>
      <c r="J386" s="1603"/>
      <c r="K386" s="1603"/>
    </row>
    <row r="387" spans="1:11">
      <c r="A387" s="1604"/>
      <c r="B387" s="833"/>
      <c r="C387" s="833"/>
      <c r="D387" s="833"/>
      <c r="E387" s="833"/>
      <c r="F387" s="833"/>
      <c r="G387" s="833"/>
      <c r="H387" s="833"/>
      <c r="J387" s="833"/>
      <c r="K387" s="833"/>
    </row>
    <row r="388" spans="1:11">
      <c r="A388" s="1604"/>
      <c r="B388" s="833"/>
      <c r="C388" s="833"/>
      <c r="D388" s="833"/>
      <c r="E388" s="833"/>
      <c r="F388" s="833"/>
      <c r="G388" s="833"/>
      <c r="H388" s="833"/>
      <c r="J388" s="833"/>
      <c r="K388" s="833"/>
    </row>
    <row r="389" spans="1:11">
      <c r="A389" s="1604"/>
      <c r="B389" s="833"/>
      <c r="C389" s="833"/>
      <c r="D389" s="833"/>
      <c r="E389" s="833"/>
      <c r="F389" s="833"/>
      <c r="G389" s="833"/>
      <c r="H389" s="833"/>
      <c r="J389" s="833"/>
      <c r="K389" s="833"/>
    </row>
    <row r="390" spans="1:11">
      <c r="A390" s="1604"/>
      <c r="B390" s="833"/>
      <c r="C390" s="833"/>
      <c r="D390" s="833"/>
      <c r="E390" s="833"/>
      <c r="F390" s="833"/>
      <c r="G390" s="833"/>
      <c r="H390" s="833"/>
      <c r="J390" s="833"/>
      <c r="K390" s="833"/>
    </row>
    <row r="391" spans="1:11">
      <c r="A391" s="1604"/>
      <c r="B391" s="833"/>
      <c r="C391" s="833"/>
      <c r="D391" s="833"/>
      <c r="E391" s="833"/>
      <c r="F391" s="833"/>
      <c r="G391" s="833"/>
      <c r="H391" s="833"/>
      <c r="J391" s="833"/>
      <c r="K391" s="833"/>
    </row>
    <row r="392" spans="1:11">
      <c r="A392" s="1604"/>
      <c r="B392" s="833"/>
      <c r="C392" s="833"/>
      <c r="D392" s="833"/>
      <c r="E392" s="833"/>
      <c r="F392" s="833"/>
      <c r="G392" s="833"/>
      <c r="H392" s="833"/>
      <c r="J392" s="833"/>
      <c r="K392" s="833"/>
    </row>
    <row r="393" spans="1:11">
      <c r="A393" s="1604"/>
      <c r="B393" s="833"/>
      <c r="C393" s="833"/>
      <c r="D393" s="833"/>
      <c r="E393" s="833"/>
      <c r="F393" s="833"/>
      <c r="G393" s="833"/>
      <c r="H393" s="833"/>
      <c r="J393" s="833"/>
      <c r="K393" s="833"/>
    </row>
    <row r="394" spans="1:11">
      <c r="A394" s="1604"/>
      <c r="B394" s="833"/>
      <c r="C394" s="833"/>
      <c r="D394" s="833"/>
      <c r="E394" s="833"/>
      <c r="F394" s="833"/>
      <c r="G394" s="833"/>
      <c r="H394" s="833"/>
      <c r="J394" s="833"/>
      <c r="K394" s="833"/>
    </row>
    <row r="395" spans="1:11">
      <c r="A395" s="1604"/>
      <c r="B395" s="833"/>
      <c r="C395" s="833"/>
      <c r="D395" s="833"/>
      <c r="E395" s="833"/>
      <c r="F395" s="833"/>
      <c r="G395" s="833"/>
      <c r="H395" s="833"/>
      <c r="J395" s="833"/>
      <c r="K395" s="833"/>
    </row>
    <row r="396" spans="1:11">
      <c r="A396" s="1604"/>
      <c r="B396" s="833"/>
      <c r="C396" s="833"/>
      <c r="D396" s="833"/>
      <c r="E396" s="833"/>
      <c r="F396" s="833"/>
      <c r="G396" s="833"/>
      <c r="H396" s="833"/>
      <c r="J396" s="833"/>
      <c r="K396" s="833"/>
    </row>
    <row r="397" spans="1:11">
      <c r="A397" s="1604"/>
      <c r="B397" s="833"/>
      <c r="C397" s="833"/>
      <c r="D397" s="833"/>
      <c r="E397" s="833"/>
      <c r="F397" s="833"/>
      <c r="G397" s="833"/>
      <c r="H397" s="833"/>
      <c r="J397" s="833"/>
      <c r="K397" s="833"/>
    </row>
    <row r="398" spans="1:11">
      <c r="A398" s="1604"/>
      <c r="B398" s="833"/>
      <c r="C398" s="833"/>
      <c r="D398" s="833"/>
      <c r="E398" s="833"/>
      <c r="F398" s="833"/>
      <c r="G398" s="833"/>
      <c r="H398" s="833"/>
      <c r="J398" s="833"/>
      <c r="K398" s="833"/>
    </row>
    <row r="399" spans="1:11">
      <c r="A399" s="1604"/>
      <c r="B399" s="833"/>
      <c r="C399" s="833"/>
      <c r="D399" s="833"/>
      <c r="E399" s="833"/>
      <c r="F399" s="833"/>
      <c r="G399" s="833"/>
      <c r="H399" s="833"/>
      <c r="J399" s="833"/>
      <c r="K399" s="833"/>
    </row>
    <row r="400" spans="1:11">
      <c r="A400" s="1604"/>
      <c r="B400" s="833"/>
      <c r="C400" s="833"/>
      <c r="D400" s="833"/>
      <c r="E400" s="833"/>
      <c r="F400" s="833"/>
      <c r="G400" s="833"/>
      <c r="H400" s="833"/>
      <c r="J400" s="833"/>
      <c r="K400" s="833"/>
    </row>
    <row r="401" spans="1:11">
      <c r="A401" s="1604"/>
      <c r="B401" s="833"/>
      <c r="C401" s="833"/>
      <c r="D401" s="833"/>
      <c r="E401" s="833"/>
      <c r="F401" s="833"/>
      <c r="G401" s="833"/>
      <c r="H401" s="833"/>
      <c r="J401" s="833"/>
      <c r="K401" s="833"/>
    </row>
    <row r="402" spans="1:11">
      <c r="A402" s="1604"/>
      <c r="B402" s="833"/>
      <c r="C402" s="833"/>
      <c r="D402" s="833"/>
      <c r="E402" s="833"/>
      <c r="F402" s="833"/>
      <c r="G402" s="833"/>
      <c r="H402" s="833"/>
      <c r="J402" s="833"/>
      <c r="K402" s="833"/>
    </row>
    <row r="403" spans="1:11">
      <c r="A403" s="1604"/>
      <c r="B403" s="833"/>
      <c r="C403" s="833"/>
      <c r="D403" s="833"/>
      <c r="E403" s="833"/>
      <c r="F403" s="833"/>
      <c r="G403" s="833"/>
      <c r="H403" s="833"/>
      <c r="J403" s="833"/>
      <c r="K403" s="833"/>
    </row>
    <row r="404" spans="1:11">
      <c r="A404" s="1604"/>
      <c r="B404" s="833"/>
      <c r="C404" s="833"/>
      <c r="D404" s="833"/>
      <c r="E404" s="833"/>
      <c r="F404" s="833"/>
      <c r="G404" s="833"/>
      <c r="H404" s="833"/>
      <c r="J404" s="833"/>
      <c r="K404" s="833"/>
    </row>
    <row r="405" spans="1:11">
      <c r="A405" s="1604"/>
      <c r="B405" s="833"/>
      <c r="C405" s="833"/>
      <c r="D405" s="833"/>
      <c r="E405" s="833"/>
      <c r="F405" s="833"/>
      <c r="G405" s="833"/>
      <c r="H405" s="833"/>
      <c r="J405" s="833"/>
      <c r="K405" s="833"/>
    </row>
    <row r="406" spans="1:11">
      <c r="A406" s="1605"/>
      <c r="B406" s="1606"/>
      <c r="C406" s="1606"/>
      <c r="D406" s="1606"/>
      <c r="E406" s="1606"/>
      <c r="F406" s="1606"/>
      <c r="G406" s="1606"/>
      <c r="H406" s="1606"/>
      <c r="I406" s="1606"/>
      <c r="J406" s="1606"/>
      <c r="K406" s="1606"/>
    </row>
  </sheetData>
  <mergeCells count="11">
    <mergeCell ref="A1:J1"/>
    <mergeCell ref="C2:I2"/>
    <mergeCell ref="A10:A11"/>
    <mergeCell ref="B10:F10"/>
    <mergeCell ref="H10:J10"/>
    <mergeCell ref="C8:J8"/>
    <mergeCell ref="C7:J7"/>
    <mergeCell ref="C6:J6"/>
    <mergeCell ref="C5:J5"/>
    <mergeCell ref="C4:J4"/>
    <mergeCell ref="C3:J3"/>
  </mergeCells>
  <printOptions horizontalCentered="1" verticalCentered="1"/>
  <pageMargins left="0.19685039370078741" right="0.19685039370078741" top="0.59055118110236227" bottom="0.39370078740157483" header="0" footer="0"/>
  <pageSetup paperSize="9" scale="75" orientation="portrait" r:id="rId1"/>
  <headerFooter alignWithMargins="0"/>
  <ignoredErrors>
    <ignoredError sqref="E51:E61 F73 E94:E96 B90:D90 E103:E105" formulaRange="1"/>
    <ignoredError sqref="E72 E73 E71 E64:E70 E91:E93" formula="1" formulaRange="1"/>
    <ignoredError sqref="E63 E74:E8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9">
    <tabColor rgb="FFFFFF00"/>
  </sheetPr>
  <dimension ref="A1:BC445"/>
  <sheetViews>
    <sheetView showGridLines="0" view="pageBreakPreview" topLeftCell="A10" zoomScaleNormal="85" zoomScaleSheetLayoutView="100" workbookViewId="0">
      <selection activeCell="F101" sqref="F101"/>
    </sheetView>
  </sheetViews>
  <sheetFormatPr baseColWidth="10" defaultColWidth="12" defaultRowHeight="14.25"/>
  <cols>
    <col min="1" max="1" width="12.1640625" style="1457" customWidth="1"/>
    <col min="2" max="2" width="14.5" style="1457" customWidth="1"/>
    <col min="3" max="3" width="12.1640625" style="1457" customWidth="1"/>
    <col min="4" max="4" width="14.6640625" style="1457" customWidth="1"/>
    <col min="5" max="5" width="12.1640625" style="1457" customWidth="1"/>
    <col min="6" max="6" width="11.33203125" style="1457" customWidth="1"/>
    <col min="7" max="7" width="13.33203125" style="1457" customWidth="1"/>
    <col min="8" max="8" width="12.1640625" style="1457" customWidth="1"/>
    <col min="9" max="9" width="12.1640625" style="833" customWidth="1"/>
    <col min="10" max="14" width="12" style="833"/>
    <col min="15" max="16384" width="12" style="1457"/>
  </cols>
  <sheetData>
    <row r="1" spans="1:35" ht="25.5" customHeight="1" thickBot="1">
      <c r="A1" s="3267" t="s">
        <v>7</v>
      </c>
      <c r="B1" s="3268"/>
      <c r="C1" s="3268"/>
      <c r="D1" s="3268"/>
      <c r="E1" s="3268"/>
      <c r="F1" s="3268"/>
      <c r="G1" s="3268"/>
      <c r="H1" s="3268"/>
      <c r="I1" s="3269"/>
    </row>
    <row r="2" spans="1:35" s="1459" customFormat="1" ht="24" customHeight="1">
      <c r="A2" s="1729" t="s">
        <v>18</v>
      </c>
      <c r="B2" s="1607"/>
      <c r="C2" s="3270" t="s">
        <v>45</v>
      </c>
      <c r="D2" s="3271"/>
      <c r="E2" s="3271"/>
      <c r="F2" s="3271"/>
      <c r="G2" s="3271"/>
      <c r="H2" s="3272"/>
      <c r="I2" s="1730" t="s">
        <v>313</v>
      </c>
      <c r="J2" s="1458"/>
      <c r="K2" s="1458"/>
      <c r="L2" s="1458"/>
      <c r="M2" s="1458"/>
      <c r="N2" s="1458"/>
    </row>
    <row r="3" spans="1:35" s="1459" customFormat="1" ht="24" customHeight="1">
      <c r="A3" s="1460" t="s">
        <v>17</v>
      </c>
      <c r="B3" s="1608"/>
      <c r="C3" s="3282" t="s">
        <v>76</v>
      </c>
      <c r="D3" s="3283"/>
      <c r="E3" s="3283"/>
      <c r="F3" s="3283"/>
      <c r="G3" s="3283"/>
      <c r="H3" s="3283"/>
      <c r="I3" s="3284"/>
      <c r="J3" s="1458"/>
      <c r="K3" s="1458"/>
      <c r="L3" s="1458"/>
      <c r="M3" s="1458"/>
      <c r="N3" s="1458"/>
    </row>
    <row r="4" spans="1:35" s="1459" customFormat="1" ht="24" customHeight="1">
      <c r="A4" s="1460" t="s">
        <v>8</v>
      </c>
      <c r="B4" s="1608"/>
      <c r="C4" s="3282" t="s">
        <v>175</v>
      </c>
      <c r="D4" s="3283"/>
      <c r="E4" s="3283"/>
      <c r="F4" s="3283"/>
      <c r="G4" s="3283"/>
      <c r="H4" s="3283"/>
      <c r="I4" s="3284"/>
      <c r="J4" s="1458"/>
      <c r="K4" s="1458"/>
      <c r="L4" s="1458"/>
      <c r="M4" s="1458"/>
      <c r="N4" s="1458"/>
    </row>
    <row r="5" spans="1:35" s="1459" customFormat="1" ht="24" customHeight="1">
      <c r="A5" s="1460" t="s">
        <v>11</v>
      </c>
      <c r="B5" s="1608"/>
      <c r="C5" s="3282" t="s">
        <v>177</v>
      </c>
      <c r="D5" s="3283"/>
      <c r="E5" s="3283"/>
      <c r="F5" s="3283"/>
      <c r="G5" s="3283"/>
      <c r="H5" s="3283"/>
      <c r="I5" s="3284"/>
      <c r="J5" s="1461"/>
      <c r="K5" s="833"/>
      <c r="L5" s="1462"/>
      <c r="M5" s="1458"/>
      <c r="N5" s="1458"/>
    </row>
    <row r="6" spans="1:35" s="1459" customFormat="1" ht="24" customHeight="1">
      <c r="A6" s="1460" t="s">
        <v>16</v>
      </c>
      <c r="B6" s="1608"/>
      <c r="C6" s="3282" t="s">
        <v>12</v>
      </c>
      <c r="D6" s="3283"/>
      <c r="E6" s="3283"/>
      <c r="F6" s="3283"/>
      <c r="G6" s="3283"/>
      <c r="H6" s="3283"/>
      <c r="I6" s="3284"/>
      <c r="J6" s="1458"/>
      <c r="K6" s="1458"/>
      <c r="L6" s="1458"/>
      <c r="M6" s="1458"/>
      <c r="N6" s="1458"/>
    </row>
    <row r="7" spans="1:35" s="1459" customFormat="1" ht="24" customHeight="1">
      <c r="A7" s="1537" t="s">
        <v>9</v>
      </c>
      <c r="B7" s="1609"/>
      <c r="C7" s="3282" t="s">
        <v>700</v>
      </c>
      <c r="D7" s="3283"/>
      <c r="E7" s="3283"/>
      <c r="F7" s="3283"/>
      <c r="G7" s="3283"/>
      <c r="H7" s="3283"/>
      <c r="I7" s="3284"/>
      <c r="J7" s="1458"/>
      <c r="K7" s="1458"/>
      <c r="L7" s="1458"/>
      <c r="M7" s="1458"/>
      <c r="N7" s="1458"/>
      <c r="AI7" s="1463"/>
    </row>
    <row r="8" spans="1:35" s="1459" customFormat="1" ht="27" customHeight="1" thickBot="1">
      <c r="A8" s="1539" t="s">
        <v>21</v>
      </c>
      <c r="B8" s="1610"/>
      <c r="C8" s="3285" t="s">
        <v>694</v>
      </c>
      <c r="D8" s="3286"/>
      <c r="E8" s="3286"/>
      <c r="F8" s="3286"/>
      <c r="G8" s="3286"/>
      <c r="H8" s="3286"/>
      <c r="I8" s="3287"/>
      <c r="J8" s="1458"/>
      <c r="K8" s="833"/>
      <c r="L8" s="833"/>
      <c r="M8" s="833"/>
      <c r="N8" s="1458"/>
      <c r="O8" s="1458"/>
      <c r="P8" s="1458"/>
      <c r="Q8" s="1458"/>
      <c r="R8" s="1458"/>
    </row>
    <row r="9" spans="1:35" ht="15" thickBot="1">
      <c r="A9" s="1541"/>
      <c r="B9" s="1542"/>
      <c r="C9" s="1542"/>
      <c r="D9" s="1542"/>
      <c r="E9" s="1542"/>
      <c r="F9" s="1542"/>
      <c r="G9" s="1542"/>
      <c r="H9" s="1542"/>
      <c r="I9" s="1543"/>
      <c r="N9" s="1458"/>
      <c r="O9" s="1459"/>
      <c r="P9" s="1459"/>
      <c r="Q9" s="1459"/>
      <c r="R9" s="1459"/>
      <c r="S9" s="1458"/>
      <c r="T9" s="1459"/>
      <c r="U9" s="1459"/>
      <c r="V9" s="1459"/>
      <c r="W9" s="1459"/>
    </row>
    <row r="10" spans="1:35" s="833" customFormat="1" ht="15" customHeight="1">
      <c r="A10" s="3288" t="s">
        <v>144</v>
      </c>
      <c r="B10" s="3290" t="s">
        <v>0</v>
      </c>
      <c r="C10" s="3290" t="s">
        <v>1</v>
      </c>
      <c r="D10" s="3290" t="s">
        <v>2</v>
      </c>
      <c r="E10" s="3290" t="s">
        <v>3</v>
      </c>
      <c r="F10" s="3290" t="s">
        <v>4</v>
      </c>
      <c r="G10" s="3290" t="s">
        <v>5</v>
      </c>
      <c r="H10" s="1611" t="s">
        <v>47</v>
      </c>
      <c r="I10" s="1731"/>
      <c r="N10" s="1458"/>
      <c r="O10" s="1459"/>
      <c r="P10" s="1459"/>
      <c r="Q10" s="1459"/>
      <c r="R10" s="1459"/>
      <c r="S10" s="1459"/>
      <c r="T10" s="1458"/>
      <c r="U10" s="1458"/>
      <c r="V10" s="1458"/>
      <c r="W10" s="1458"/>
    </row>
    <row r="11" spans="1:35" ht="15" customHeight="1" thickBot="1">
      <c r="A11" s="3289"/>
      <c r="B11" s="3291"/>
      <c r="C11" s="3291"/>
      <c r="D11" s="3291"/>
      <c r="E11" s="3291"/>
      <c r="F11" s="3291"/>
      <c r="G11" s="3291"/>
      <c r="H11" s="1612" t="s">
        <v>143</v>
      </c>
      <c r="I11" s="1732" t="s">
        <v>30</v>
      </c>
      <c r="N11" s="1458"/>
      <c r="O11" s="1459"/>
      <c r="P11" s="1459"/>
      <c r="Q11" s="1459"/>
      <c r="R11" s="1459"/>
      <c r="S11" s="1459"/>
      <c r="T11" s="1459"/>
      <c r="U11" s="1459"/>
      <c r="V11" s="1459"/>
      <c r="W11" s="1459"/>
    </row>
    <row r="12" spans="1:35" hidden="1">
      <c r="A12" s="1733">
        <v>40544</v>
      </c>
      <c r="B12" s="1613">
        <v>6599</v>
      </c>
      <c r="C12" s="1614">
        <v>1227</v>
      </c>
      <c r="D12" s="1613">
        <v>150</v>
      </c>
      <c r="E12" s="1614">
        <v>4</v>
      </c>
      <c r="F12" s="1613">
        <v>320</v>
      </c>
      <c r="G12" s="1614">
        <f t="shared" ref="G12:G75" si="0">SUM(B12:F12)</f>
        <v>8300</v>
      </c>
      <c r="H12" s="1615">
        <v>3138</v>
      </c>
      <c r="I12" s="1734">
        <f>+H12/B12</f>
        <v>0.47552659493862709</v>
      </c>
      <c r="N12" s="1458"/>
      <c r="O12" s="1459"/>
      <c r="P12" s="1459"/>
      <c r="Q12" s="1459"/>
      <c r="R12" s="1459"/>
      <c r="S12" s="1459"/>
      <c r="T12" s="1459"/>
      <c r="U12" s="1459"/>
      <c r="V12" s="1459"/>
      <c r="W12" s="1459"/>
    </row>
    <row r="13" spans="1:35" hidden="1">
      <c r="A13" s="1733">
        <v>40575</v>
      </c>
      <c r="B13" s="1613">
        <v>6622</v>
      </c>
      <c r="C13" s="1614">
        <v>1235</v>
      </c>
      <c r="D13" s="1613">
        <v>151</v>
      </c>
      <c r="E13" s="1614">
        <v>4</v>
      </c>
      <c r="F13" s="1613">
        <v>312</v>
      </c>
      <c r="G13" s="1614">
        <f t="shared" si="0"/>
        <v>8324</v>
      </c>
      <c r="H13" s="1615">
        <v>3073</v>
      </c>
      <c r="I13" s="1734">
        <f t="shared" ref="I13:I41" si="1">+H13/B13</f>
        <v>0.46405919661733613</v>
      </c>
      <c r="N13" s="1458"/>
      <c r="O13" s="1459"/>
      <c r="P13" s="1459"/>
      <c r="Q13" s="1459"/>
      <c r="R13" s="1459"/>
      <c r="S13" s="1459"/>
      <c r="T13" s="1459"/>
      <c r="U13" s="1459"/>
      <c r="V13" s="1459"/>
      <c r="W13" s="1459"/>
    </row>
    <row r="14" spans="1:35" hidden="1">
      <c r="A14" s="1733">
        <v>40603</v>
      </c>
      <c r="B14" s="1613">
        <v>6647</v>
      </c>
      <c r="C14" s="1614">
        <v>1244</v>
      </c>
      <c r="D14" s="1613">
        <v>151</v>
      </c>
      <c r="E14" s="1614">
        <v>4</v>
      </c>
      <c r="F14" s="1613">
        <v>325</v>
      </c>
      <c r="G14" s="1614">
        <f t="shared" si="0"/>
        <v>8371</v>
      </c>
      <c r="H14" s="1615">
        <v>1839</v>
      </c>
      <c r="I14" s="1734">
        <f t="shared" si="1"/>
        <v>0.27666616518730253</v>
      </c>
      <c r="N14" s="1458"/>
      <c r="O14" s="1459"/>
      <c r="P14" s="1459"/>
      <c r="Q14" s="1459"/>
      <c r="R14" s="1459"/>
      <c r="S14" s="1459"/>
      <c r="T14" s="1459"/>
      <c r="U14" s="1459"/>
      <c r="V14" s="1459"/>
      <c r="W14" s="1459"/>
    </row>
    <row r="15" spans="1:35" hidden="1">
      <c r="A15" s="1733">
        <v>40634</v>
      </c>
      <c r="B15" s="1613">
        <v>6673</v>
      </c>
      <c r="C15" s="1614">
        <v>1269</v>
      </c>
      <c r="D15" s="1613">
        <v>152</v>
      </c>
      <c r="E15" s="1614">
        <v>4</v>
      </c>
      <c r="F15" s="1613">
        <v>323</v>
      </c>
      <c r="G15" s="1614">
        <f t="shared" si="0"/>
        <v>8421</v>
      </c>
      <c r="H15" s="1615">
        <v>3164</v>
      </c>
      <c r="I15" s="1734">
        <f t="shared" si="1"/>
        <v>0.47414955791997604</v>
      </c>
      <c r="N15" s="1458"/>
      <c r="O15" s="1459"/>
      <c r="P15" s="1459"/>
      <c r="Q15" s="1459"/>
      <c r="R15" s="1459"/>
      <c r="S15" s="1459"/>
      <c r="T15" s="1459"/>
      <c r="U15" s="1459"/>
      <c r="V15" s="1459"/>
      <c r="W15" s="1459"/>
    </row>
    <row r="16" spans="1:35" hidden="1">
      <c r="A16" s="1733">
        <v>40664</v>
      </c>
      <c r="B16" s="1613">
        <v>6684</v>
      </c>
      <c r="C16" s="1614">
        <v>1283</v>
      </c>
      <c r="D16" s="1613">
        <v>150</v>
      </c>
      <c r="E16" s="1614">
        <v>4</v>
      </c>
      <c r="F16" s="1613">
        <v>327</v>
      </c>
      <c r="G16" s="1614">
        <f t="shared" si="0"/>
        <v>8448</v>
      </c>
      <c r="H16" s="1615">
        <v>3200</v>
      </c>
      <c r="I16" s="1734">
        <f t="shared" si="1"/>
        <v>0.47875523638539796</v>
      </c>
      <c r="N16" s="1458"/>
      <c r="O16" s="1459"/>
      <c r="P16" s="1459"/>
      <c r="Q16" s="1459"/>
      <c r="R16" s="1459"/>
      <c r="S16" s="1459"/>
      <c r="T16" s="1459"/>
      <c r="U16" s="1459"/>
      <c r="V16" s="1459"/>
      <c r="W16" s="1459"/>
    </row>
    <row r="17" spans="1:23" hidden="1">
      <c r="A17" s="1733">
        <v>40695</v>
      </c>
      <c r="B17" s="1613">
        <v>6721</v>
      </c>
      <c r="C17" s="1614">
        <v>1288</v>
      </c>
      <c r="D17" s="1613">
        <v>150</v>
      </c>
      <c r="E17" s="1614">
        <v>5</v>
      </c>
      <c r="F17" s="1613">
        <v>328</v>
      </c>
      <c r="G17" s="1614">
        <f t="shared" si="0"/>
        <v>8492</v>
      </c>
      <c r="H17" s="1615">
        <v>3269</v>
      </c>
      <c r="I17" s="1734">
        <f t="shared" si="1"/>
        <v>0.48638595447106087</v>
      </c>
      <c r="N17" s="1458"/>
      <c r="O17" s="1459"/>
      <c r="P17" s="1459"/>
      <c r="Q17" s="1459"/>
      <c r="R17" s="1459"/>
      <c r="S17" s="1459"/>
      <c r="T17" s="1459"/>
      <c r="U17" s="1459"/>
      <c r="V17" s="1459"/>
      <c r="W17" s="1459"/>
    </row>
    <row r="18" spans="1:23" hidden="1">
      <c r="A18" s="1733">
        <v>40725</v>
      </c>
      <c r="B18" s="1616">
        <v>6742</v>
      </c>
      <c r="C18" s="1617">
        <v>1302</v>
      </c>
      <c r="D18" s="1616">
        <v>151</v>
      </c>
      <c r="E18" s="1617">
        <v>5</v>
      </c>
      <c r="F18" s="1616">
        <v>325</v>
      </c>
      <c r="G18" s="1614">
        <f t="shared" si="0"/>
        <v>8525</v>
      </c>
      <c r="H18" s="1618">
        <v>3457</v>
      </c>
      <c r="I18" s="1735">
        <f t="shared" si="1"/>
        <v>0.51275585879560959</v>
      </c>
      <c r="N18" s="1458"/>
      <c r="O18" s="1459"/>
      <c r="P18" s="1459"/>
      <c r="Q18" s="1459"/>
      <c r="R18" s="1459"/>
      <c r="S18" s="1459"/>
      <c r="T18" s="1459"/>
      <c r="U18" s="1459"/>
      <c r="V18" s="1459"/>
      <c r="W18" s="1459"/>
    </row>
    <row r="19" spans="1:23" hidden="1">
      <c r="A19" s="1733">
        <v>40756</v>
      </c>
      <c r="B19" s="1613">
        <v>6805</v>
      </c>
      <c r="C19" s="1614">
        <v>1303</v>
      </c>
      <c r="D19" s="1613">
        <v>151</v>
      </c>
      <c r="E19" s="1614">
        <v>5</v>
      </c>
      <c r="F19" s="1613">
        <v>313</v>
      </c>
      <c r="G19" s="1614">
        <f t="shared" si="0"/>
        <v>8577</v>
      </c>
      <c r="H19" s="1615">
        <v>3185</v>
      </c>
      <c r="I19" s="1734">
        <f t="shared" si="1"/>
        <v>0.46803820720058781</v>
      </c>
      <c r="N19" s="1458"/>
      <c r="O19" s="1459"/>
      <c r="P19" s="1459"/>
      <c r="Q19" s="1459"/>
      <c r="R19" s="1459"/>
      <c r="S19" s="1459"/>
      <c r="T19" s="1459"/>
      <c r="U19" s="1459"/>
      <c r="V19" s="1459"/>
      <c r="W19" s="1459"/>
    </row>
    <row r="20" spans="1:23" hidden="1">
      <c r="A20" s="1733">
        <v>40787</v>
      </c>
      <c r="B20" s="1616">
        <v>6843</v>
      </c>
      <c r="C20" s="1617">
        <v>1307</v>
      </c>
      <c r="D20" s="1616">
        <v>152</v>
      </c>
      <c r="E20" s="1617">
        <v>15</v>
      </c>
      <c r="F20" s="1616">
        <v>312</v>
      </c>
      <c r="G20" s="1614">
        <f t="shared" si="0"/>
        <v>8629</v>
      </c>
      <c r="H20" s="1618">
        <v>3442</v>
      </c>
      <c r="I20" s="1735">
        <f t="shared" si="1"/>
        <v>0.5029957620926494</v>
      </c>
      <c r="N20" s="1458"/>
      <c r="O20" s="1459"/>
      <c r="P20" s="1459"/>
      <c r="Q20" s="1459"/>
      <c r="R20" s="1459"/>
      <c r="S20" s="1459"/>
      <c r="T20" s="1459"/>
      <c r="U20" s="1459"/>
      <c r="V20" s="1459"/>
      <c r="W20" s="1459"/>
    </row>
    <row r="21" spans="1:23" hidden="1">
      <c r="A21" s="1733">
        <v>40817</v>
      </c>
      <c r="B21" s="1613">
        <v>6881</v>
      </c>
      <c r="C21" s="1614">
        <v>1306</v>
      </c>
      <c r="D21" s="1613">
        <v>151</v>
      </c>
      <c r="E21" s="1614">
        <v>15</v>
      </c>
      <c r="F21" s="1613">
        <v>313</v>
      </c>
      <c r="G21" s="1614">
        <f t="shared" si="0"/>
        <v>8666</v>
      </c>
      <c r="H21" s="1615">
        <v>3705</v>
      </c>
      <c r="I21" s="1734">
        <f t="shared" si="1"/>
        <v>0.53843918035169303</v>
      </c>
      <c r="N21" s="1458"/>
      <c r="O21" s="1459"/>
      <c r="P21" s="1459"/>
      <c r="Q21" s="1459"/>
      <c r="R21" s="1459"/>
      <c r="S21" s="1459"/>
      <c r="T21" s="1459"/>
      <c r="U21" s="1459"/>
      <c r="V21" s="1459"/>
      <c r="W21" s="1459"/>
    </row>
    <row r="22" spans="1:23" hidden="1">
      <c r="A22" s="1733">
        <v>40848</v>
      </c>
      <c r="B22" s="1619">
        <v>6901</v>
      </c>
      <c r="C22" s="1620">
        <v>1306</v>
      </c>
      <c r="D22" s="1619">
        <v>157</v>
      </c>
      <c r="E22" s="1620">
        <v>15</v>
      </c>
      <c r="F22" s="1619">
        <v>313</v>
      </c>
      <c r="G22" s="1614">
        <f t="shared" si="0"/>
        <v>8692</v>
      </c>
      <c r="H22" s="1621">
        <v>3593</v>
      </c>
      <c r="I22" s="1734">
        <f t="shared" si="1"/>
        <v>0.52064918127807569</v>
      </c>
      <c r="N22" s="1458"/>
      <c r="O22" s="1459"/>
      <c r="P22" s="1459"/>
      <c r="Q22" s="1459"/>
      <c r="R22" s="1459"/>
      <c r="S22" s="1459"/>
      <c r="T22" s="1459"/>
      <c r="U22" s="1459"/>
      <c r="V22" s="1459"/>
      <c r="W22" s="1459"/>
    </row>
    <row r="23" spans="1:23" hidden="1">
      <c r="A23" s="1733">
        <v>40878</v>
      </c>
      <c r="B23" s="1619">
        <v>6929</v>
      </c>
      <c r="C23" s="1620">
        <v>1326</v>
      </c>
      <c r="D23" s="1619">
        <v>160</v>
      </c>
      <c r="E23" s="1620">
        <v>15</v>
      </c>
      <c r="F23" s="1619">
        <v>315</v>
      </c>
      <c r="G23" s="1614">
        <f t="shared" si="0"/>
        <v>8745</v>
      </c>
      <c r="H23" s="1621">
        <v>3673</v>
      </c>
      <c r="I23" s="1734">
        <f t="shared" si="1"/>
        <v>0.5300909222109973</v>
      </c>
      <c r="N23" s="1458"/>
      <c r="O23" s="1459"/>
      <c r="P23" s="1459"/>
      <c r="Q23" s="1459"/>
      <c r="R23" s="1459"/>
      <c r="S23" s="1459"/>
      <c r="T23" s="1459"/>
      <c r="U23" s="1459"/>
      <c r="V23" s="1459"/>
      <c r="W23" s="1459"/>
    </row>
    <row r="24" spans="1:23" hidden="1">
      <c r="A24" s="1733">
        <v>40909</v>
      </c>
      <c r="B24" s="1619">
        <v>6971</v>
      </c>
      <c r="C24" s="1620">
        <v>1334</v>
      </c>
      <c r="D24" s="1619">
        <v>162</v>
      </c>
      <c r="E24" s="1620">
        <v>15</v>
      </c>
      <c r="F24" s="1619">
        <v>316</v>
      </c>
      <c r="G24" s="1614">
        <f t="shared" si="0"/>
        <v>8798</v>
      </c>
      <c r="H24" s="1621">
        <v>3173</v>
      </c>
      <c r="I24" s="1734">
        <f t="shared" si="1"/>
        <v>0.45517142447281594</v>
      </c>
      <c r="N24" s="1458"/>
      <c r="O24" s="1459"/>
      <c r="P24" s="1459"/>
      <c r="Q24" s="1459"/>
      <c r="R24" s="1459"/>
      <c r="S24" s="1459"/>
      <c r="T24" s="1459"/>
      <c r="U24" s="1459"/>
      <c r="V24" s="1459"/>
      <c r="W24" s="1459"/>
    </row>
    <row r="25" spans="1:23" hidden="1">
      <c r="A25" s="1733">
        <v>40940</v>
      </c>
      <c r="B25" s="1613">
        <v>6985</v>
      </c>
      <c r="C25" s="1614">
        <v>1328</v>
      </c>
      <c r="D25" s="1613">
        <v>161</v>
      </c>
      <c r="E25" s="1614">
        <v>15</v>
      </c>
      <c r="F25" s="1613">
        <v>316</v>
      </c>
      <c r="G25" s="1614">
        <f t="shared" si="0"/>
        <v>8805</v>
      </c>
      <c r="H25" s="1615">
        <v>3451</v>
      </c>
      <c r="I25" s="1734">
        <f t="shared" si="1"/>
        <v>0.49405869720830353</v>
      </c>
      <c r="N25" s="1458"/>
      <c r="O25" s="1459"/>
      <c r="P25" s="1459"/>
      <c r="Q25" s="1459"/>
      <c r="R25" s="1459"/>
      <c r="S25" s="1459"/>
      <c r="T25" s="1459"/>
      <c r="U25" s="1459"/>
      <c r="V25" s="1459"/>
      <c r="W25" s="1459"/>
    </row>
    <row r="26" spans="1:23" hidden="1">
      <c r="A26" s="1733">
        <v>40969</v>
      </c>
      <c r="B26" s="1613">
        <v>7018</v>
      </c>
      <c r="C26" s="1614">
        <v>1337</v>
      </c>
      <c r="D26" s="1613">
        <v>163</v>
      </c>
      <c r="E26" s="1614">
        <v>15</v>
      </c>
      <c r="F26" s="1613">
        <v>316</v>
      </c>
      <c r="G26" s="1614">
        <f t="shared" si="0"/>
        <v>8849</v>
      </c>
      <c r="H26" s="1615">
        <v>3304</v>
      </c>
      <c r="I26" s="1734">
        <f t="shared" si="1"/>
        <v>0.4707893986890852</v>
      </c>
      <c r="N26" s="1458"/>
      <c r="O26" s="1459"/>
      <c r="P26" s="1459"/>
      <c r="Q26" s="1459"/>
      <c r="R26" s="1459"/>
      <c r="S26" s="1459"/>
      <c r="T26" s="1459"/>
      <c r="U26" s="1459"/>
      <c r="V26" s="1459"/>
      <c r="W26" s="1459"/>
    </row>
    <row r="27" spans="1:23" hidden="1">
      <c r="A27" s="1733">
        <v>41000</v>
      </c>
      <c r="B27" s="1613">
        <v>7049</v>
      </c>
      <c r="C27" s="1614">
        <v>1346</v>
      </c>
      <c r="D27" s="1613">
        <v>163</v>
      </c>
      <c r="E27" s="1614">
        <v>15</v>
      </c>
      <c r="F27" s="1613">
        <v>313</v>
      </c>
      <c r="G27" s="1614">
        <f t="shared" si="0"/>
        <v>8886</v>
      </c>
      <c r="H27" s="1615">
        <v>3152</v>
      </c>
      <c r="I27" s="1734">
        <f t="shared" si="1"/>
        <v>0.44715562491133493</v>
      </c>
      <c r="N27" s="1458"/>
      <c r="O27" s="1459"/>
      <c r="P27" s="1459"/>
      <c r="Q27" s="1459"/>
      <c r="R27" s="1459"/>
      <c r="S27" s="1459"/>
      <c r="T27" s="1459"/>
      <c r="U27" s="1459"/>
      <c r="V27" s="1459"/>
      <c r="W27" s="1459"/>
    </row>
    <row r="28" spans="1:23" hidden="1">
      <c r="A28" s="1733">
        <v>41030</v>
      </c>
      <c r="B28" s="1613">
        <v>7073</v>
      </c>
      <c r="C28" s="1614">
        <v>1354</v>
      </c>
      <c r="D28" s="1613">
        <v>164</v>
      </c>
      <c r="E28" s="1614">
        <v>15</v>
      </c>
      <c r="F28" s="1613">
        <v>318</v>
      </c>
      <c r="G28" s="1614">
        <f t="shared" si="0"/>
        <v>8924</v>
      </c>
      <c r="H28" s="1615">
        <v>2893</v>
      </c>
      <c r="I28" s="1734">
        <f t="shared" si="1"/>
        <v>0.40902021772939345</v>
      </c>
      <c r="N28" s="1458"/>
      <c r="O28" s="1459"/>
      <c r="P28" s="1459"/>
      <c r="Q28" s="1459"/>
      <c r="R28" s="1459"/>
      <c r="S28" s="1459"/>
      <c r="T28" s="1459"/>
      <c r="U28" s="1459"/>
      <c r="V28" s="1459"/>
      <c r="W28" s="1459"/>
    </row>
    <row r="29" spans="1:23" hidden="1">
      <c r="A29" s="1733">
        <v>41061</v>
      </c>
      <c r="B29" s="1613">
        <v>7114</v>
      </c>
      <c r="C29" s="1614">
        <v>1355</v>
      </c>
      <c r="D29" s="1613">
        <v>164</v>
      </c>
      <c r="E29" s="1614">
        <v>15</v>
      </c>
      <c r="F29" s="1613">
        <v>323</v>
      </c>
      <c r="G29" s="1614">
        <f t="shared" si="0"/>
        <v>8971</v>
      </c>
      <c r="H29" s="1615">
        <v>3208</v>
      </c>
      <c r="I29" s="1734">
        <f t="shared" si="1"/>
        <v>0.45094180489176272</v>
      </c>
      <c r="N29" s="1458"/>
      <c r="O29" s="1459"/>
      <c r="P29" s="1459"/>
      <c r="Q29" s="1459"/>
      <c r="R29" s="1459"/>
      <c r="S29" s="1459"/>
      <c r="T29" s="1459"/>
      <c r="U29" s="1459"/>
      <c r="V29" s="1459"/>
      <c r="W29" s="1459"/>
    </row>
    <row r="30" spans="1:23" hidden="1">
      <c r="A30" s="1733">
        <v>41091</v>
      </c>
      <c r="B30" s="1613">
        <v>7152</v>
      </c>
      <c r="C30" s="1614">
        <v>1364</v>
      </c>
      <c r="D30" s="1613">
        <v>164</v>
      </c>
      <c r="E30" s="1614">
        <v>17</v>
      </c>
      <c r="F30" s="1613">
        <v>325</v>
      </c>
      <c r="G30" s="1614">
        <f t="shared" si="0"/>
        <v>9022</v>
      </c>
      <c r="H30" s="1615">
        <v>3200</v>
      </c>
      <c r="I30" s="1734">
        <f t="shared" si="1"/>
        <v>0.44742729306487694</v>
      </c>
      <c r="N30" s="1458"/>
      <c r="O30" s="1459"/>
      <c r="P30" s="1459"/>
      <c r="Q30" s="1459"/>
      <c r="R30" s="1459"/>
      <c r="S30" s="1459"/>
      <c r="T30" s="1459"/>
      <c r="U30" s="1459"/>
      <c r="V30" s="1459"/>
      <c r="W30" s="1459"/>
    </row>
    <row r="31" spans="1:23" hidden="1">
      <c r="A31" s="1733">
        <v>41122</v>
      </c>
      <c r="B31" s="1616">
        <v>7178</v>
      </c>
      <c r="C31" s="1617">
        <v>1365</v>
      </c>
      <c r="D31" s="1616">
        <v>165</v>
      </c>
      <c r="E31" s="1617">
        <v>17</v>
      </c>
      <c r="F31" s="1616">
        <v>326</v>
      </c>
      <c r="G31" s="1614">
        <f t="shared" si="0"/>
        <v>9051</v>
      </c>
      <c r="H31" s="1618">
        <v>3533</v>
      </c>
      <c r="I31" s="1735">
        <f t="shared" si="1"/>
        <v>0.49219838395096127</v>
      </c>
      <c r="N31" s="1458"/>
      <c r="O31" s="1459"/>
      <c r="P31" s="1459"/>
      <c r="Q31" s="1459"/>
      <c r="R31" s="1459"/>
      <c r="S31" s="1459"/>
      <c r="T31" s="1459"/>
      <c r="U31" s="1459"/>
      <c r="V31" s="1459"/>
      <c r="W31" s="1459"/>
    </row>
    <row r="32" spans="1:23" hidden="1">
      <c r="A32" s="1733">
        <v>41153</v>
      </c>
      <c r="B32" s="1613">
        <v>7218</v>
      </c>
      <c r="C32" s="1614">
        <v>1372</v>
      </c>
      <c r="D32" s="1613">
        <v>166</v>
      </c>
      <c r="E32" s="1614">
        <v>17</v>
      </c>
      <c r="F32" s="1613">
        <v>326</v>
      </c>
      <c r="G32" s="1614">
        <f t="shared" si="0"/>
        <v>9099</v>
      </c>
      <c r="H32" s="1615">
        <v>3713</v>
      </c>
      <c r="I32" s="1734">
        <f t="shared" si="1"/>
        <v>0.51440842338597947</v>
      </c>
      <c r="N32" s="1458"/>
      <c r="O32" s="1459"/>
      <c r="P32" s="1459"/>
      <c r="Q32" s="1459"/>
      <c r="R32" s="1459"/>
      <c r="S32" s="1459"/>
      <c r="T32" s="1459"/>
      <c r="U32" s="1459"/>
      <c r="V32" s="1459"/>
      <c r="W32" s="1459"/>
    </row>
    <row r="33" spans="1:55" hidden="1">
      <c r="A33" s="1733">
        <v>41183</v>
      </c>
      <c r="B33" s="1616">
        <v>7235</v>
      </c>
      <c r="C33" s="1617">
        <v>1371</v>
      </c>
      <c r="D33" s="1616">
        <v>167</v>
      </c>
      <c r="E33" s="1617">
        <v>17</v>
      </c>
      <c r="F33" s="1616">
        <v>324</v>
      </c>
      <c r="G33" s="1614">
        <f t="shared" si="0"/>
        <v>9114</v>
      </c>
      <c r="H33" s="1618">
        <v>4095</v>
      </c>
      <c r="I33" s="1735">
        <f t="shared" si="1"/>
        <v>0.56599861782999306</v>
      </c>
      <c r="N33" s="1458"/>
      <c r="O33" s="1458"/>
      <c r="P33" s="1458"/>
      <c r="Q33" s="1458"/>
      <c r="R33" s="1458"/>
      <c r="S33" s="1459"/>
      <c r="T33" s="1459"/>
      <c r="U33" s="1459"/>
      <c r="V33" s="1459"/>
      <c r="W33" s="1459"/>
    </row>
    <row r="34" spans="1:55" hidden="1">
      <c r="A34" s="1733">
        <v>41214</v>
      </c>
      <c r="B34" s="1613">
        <v>7272</v>
      </c>
      <c r="C34" s="1614">
        <v>1381</v>
      </c>
      <c r="D34" s="1613">
        <v>167</v>
      </c>
      <c r="E34" s="1614">
        <v>17</v>
      </c>
      <c r="F34" s="1613">
        <v>332</v>
      </c>
      <c r="G34" s="1614">
        <f t="shared" si="0"/>
        <v>9169</v>
      </c>
      <c r="H34" s="1615">
        <v>3801</v>
      </c>
      <c r="I34" s="1734">
        <f t="shared" si="1"/>
        <v>0.52268976897689767</v>
      </c>
      <c r="N34" s="1458"/>
      <c r="O34" s="1459"/>
      <c r="P34" s="1459"/>
      <c r="Q34" s="1459"/>
      <c r="R34" s="1459"/>
      <c r="S34" s="1458"/>
      <c r="T34" s="1459"/>
      <c r="U34" s="1459"/>
      <c r="V34" s="1459"/>
      <c r="W34" s="1459"/>
    </row>
    <row r="35" spans="1:55" s="833" customFormat="1" hidden="1">
      <c r="A35" s="1733">
        <v>41244</v>
      </c>
      <c r="B35" s="1619">
        <v>7318</v>
      </c>
      <c r="C35" s="1620">
        <v>1390</v>
      </c>
      <c r="D35" s="1619">
        <v>167</v>
      </c>
      <c r="E35" s="1620">
        <v>17</v>
      </c>
      <c r="F35" s="1619">
        <v>338</v>
      </c>
      <c r="G35" s="1614">
        <f t="shared" si="0"/>
        <v>9230</v>
      </c>
      <c r="H35" s="1621">
        <v>3810</v>
      </c>
      <c r="I35" s="1734">
        <f t="shared" si="1"/>
        <v>0.5206340530199508</v>
      </c>
      <c r="N35" s="1458"/>
      <c r="O35" s="1459"/>
      <c r="P35" s="1459"/>
      <c r="Q35" s="1459"/>
      <c r="R35" s="1459"/>
      <c r="S35" s="1459"/>
      <c r="T35" s="1458"/>
      <c r="U35" s="1458"/>
      <c r="V35" s="1458"/>
      <c r="W35" s="1458"/>
    </row>
    <row r="36" spans="1:55" hidden="1">
      <c r="A36" s="1733">
        <v>41275</v>
      </c>
      <c r="B36" s="1619">
        <v>7336</v>
      </c>
      <c r="C36" s="1620">
        <v>1394</v>
      </c>
      <c r="D36" s="1619">
        <v>169</v>
      </c>
      <c r="E36" s="1620">
        <v>17</v>
      </c>
      <c r="F36" s="1619">
        <v>341</v>
      </c>
      <c r="G36" s="1614">
        <f t="shared" si="0"/>
        <v>9257</v>
      </c>
      <c r="H36" s="1621">
        <v>3107</v>
      </c>
      <c r="I36" s="1734">
        <f t="shared" si="1"/>
        <v>0.42352780806979279</v>
      </c>
      <c r="J36" s="1464"/>
      <c r="O36" s="1253"/>
      <c r="P36" s="1253"/>
      <c r="Q36" s="1253"/>
      <c r="R36" s="1253"/>
      <c r="S36" s="1459"/>
      <c r="T36" s="1459"/>
      <c r="U36" s="1459"/>
      <c r="V36" s="1459"/>
      <c r="W36" s="1459"/>
    </row>
    <row r="37" spans="1:55" hidden="1">
      <c r="A37" s="1733">
        <v>41306</v>
      </c>
      <c r="B37" s="1619">
        <v>7361</v>
      </c>
      <c r="C37" s="1620">
        <v>1400</v>
      </c>
      <c r="D37" s="1619">
        <v>170</v>
      </c>
      <c r="E37" s="1620">
        <v>17</v>
      </c>
      <c r="F37" s="1619">
        <v>334</v>
      </c>
      <c r="G37" s="1614">
        <f t="shared" si="0"/>
        <v>9282</v>
      </c>
      <c r="H37" s="1621">
        <v>3209</v>
      </c>
      <c r="I37" s="1734">
        <f>+H37/B37</f>
        <v>0.43594620296155412</v>
      </c>
      <c r="J37" s="1464"/>
      <c r="L37" s="1253"/>
      <c r="M37" s="1253"/>
      <c r="N37" s="1253"/>
      <c r="O37" s="1622"/>
      <c r="P37" s="1622"/>
      <c r="S37" s="1253"/>
      <c r="T37" s="1459"/>
      <c r="U37" s="1459"/>
      <c r="V37" s="1459"/>
      <c r="W37" s="1459"/>
    </row>
    <row r="38" spans="1:55" hidden="1">
      <c r="A38" s="1733">
        <v>41334</v>
      </c>
      <c r="B38" s="1613">
        <v>7404</v>
      </c>
      <c r="C38" s="1614">
        <v>1407</v>
      </c>
      <c r="D38" s="1613">
        <v>170</v>
      </c>
      <c r="E38" s="1614">
        <v>17</v>
      </c>
      <c r="F38" s="1613">
        <v>336</v>
      </c>
      <c r="G38" s="1614">
        <f t="shared" si="0"/>
        <v>9334</v>
      </c>
      <c r="H38" s="1615">
        <v>3440</v>
      </c>
      <c r="I38" s="1734">
        <f t="shared" si="1"/>
        <v>0.46461372231226367</v>
      </c>
      <c r="J38" s="1464"/>
      <c r="K38" s="1253"/>
      <c r="L38" s="1253"/>
      <c r="M38" s="1253"/>
      <c r="N38" s="1253"/>
      <c r="O38" s="1622"/>
      <c r="P38" s="1622"/>
      <c r="T38" s="1253"/>
      <c r="U38" s="1622"/>
      <c r="V38" s="1622"/>
    </row>
    <row r="39" spans="1:55" hidden="1">
      <c r="A39" s="1733">
        <v>41365</v>
      </c>
      <c r="B39" s="1613">
        <v>7441</v>
      </c>
      <c r="C39" s="1614">
        <v>1419</v>
      </c>
      <c r="D39" s="1613">
        <v>171</v>
      </c>
      <c r="E39" s="1614">
        <v>17</v>
      </c>
      <c r="F39" s="1613">
        <v>340</v>
      </c>
      <c r="G39" s="1614">
        <f t="shared" si="0"/>
        <v>9388</v>
      </c>
      <c r="H39" s="1615">
        <v>3345</v>
      </c>
      <c r="I39" s="1734">
        <f t="shared" si="1"/>
        <v>0.44953635264077407</v>
      </c>
      <c r="J39" s="1464"/>
      <c r="K39" s="1253"/>
      <c r="L39" s="1253"/>
      <c r="M39" s="1253"/>
      <c r="N39" s="1253"/>
      <c r="O39" s="1622"/>
      <c r="P39" s="1622"/>
    </row>
    <row r="40" spans="1:55" hidden="1">
      <c r="A40" s="1733">
        <v>41395</v>
      </c>
      <c r="B40" s="1613">
        <v>7472</v>
      </c>
      <c r="C40" s="1614">
        <v>1415</v>
      </c>
      <c r="D40" s="1613">
        <v>169</v>
      </c>
      <c r="E40" s="1614">
        <v>17</v>
      </c>
      <c r="F40" s="1613">
        <v>337</v>
      </c>
      <c r="G40" s="1614">
        <f t="shared" si="0"/>
        <v>9410</v>
      </c>
      <c r="H40" s="1615">
        <v>3664</v>
      </c>
      <c r="I40" s="1734">
        <f t="shared" si="1"/>
        <v>0.49036402569593146</v>
      </c>
      <c r="J40" s="1464"/>
      <c r="K40" s="1253"/>
      <c r="O40" s="1253"/>
      <c r="P40" s="1253"/>
      <c r="Q40" s="1253"/>
      <c r="R40" s="1253"/>
      <c r="AW40" s="1465">
        <v>0</v>
      </c>
    </row>
    <row r="41" spans="1:55" hidden="1">
      <c r="A41" s="1733">
        <v>41426</v>
      </c>
      <c r="B41" s="1613">
        <v>7563</v>
      </c>
      <c r="C41" s="1614">
        <v>1369</v>
      </c>
      <c r="D41" s="1613">
        <v>166</v>
      </c>
      <c r="E41" s="1614">
        <v>17</v>
      </c>
      <c r="F41" s="1613">
        <v>341</v>
      </c>
      <c r="G41" s="1614">
        <f t="shared" si="0"/>
        <v>9456</v>
      </c>
      <c r="H41" s="1615">
        <v>3791</v>
      </c>
      <c r="I41" s="1734">
        <f t="shared" si="1"/>
        <v>0.50125611529816205</v>
      </c>
      <c r="J41" s="1464"/>
      <c r="O41" s="1253"/>
      <c r="P41" s="1253"/>
      <c r="Q41" s="1253"/>
      <c r="R41" s="1253"/>
      <c r="S41" s="1253"/>
      <c r="AW41" s="1465"/>
    </row>
    <row r="42" spans="1:55" hidden="1">
      <c r="A42" s="1733">
        <v>41456</v>
      </c>
      <c r="B42" s="1613">
        <v>7595</v>
      </c>
      <c r="C42" s="1614">
        <v>1376</v>
      </c>
      <c r="D42" s="1613">
        <v>169</v>
      </c>
      <c r="E42" s="1614">
        <v>17</v>
      </c>
      <c r="F42" s="1613">
        <v>343</v>
      </c>
      <c r="G42" s="1614">
        <f t="shared" si="0"/>
        <v>9500</v>
      </c>
      <c r="H42" s="1615">
        <v>4009</v>
      </c>
      <c r="I42" s="1734">
        <f>+H42/B42</f>
        <v>0.52784726793943382</v>
      </c>
      <c r="J42" s="1464"/>
      <c r="O42" s="1253"/>
      <c r="P42" s="1253"/>
      <c r="Q42" s="1253"/>
      <c r="R42" s="1253"/>
      <c r="S42" s="1253"/>
      <c r="T42" s="1253"/>
      <c r="U42" s="1622"/>
      <c r="V42" s="1622"/>
    </row>
    <row r="43" spans="1:55" hidden="1">
      <c r="A43" s="1733">
        <v>41487</v>
      </c>
      <c r="B43" s="1613">
        <v>7633</v>
      </c>
      <c r="C43" s="1614">
        <v>1375</v>
      </c>
      <c r="D43" s="1613">
        <v>169</v>
      </c>
      <c r="E43" s="1614">
        <v>17</v>
      </c>
      <c r="F43" s="1613">
        <v>346</v>
      </c>
      <c r="G43" s="1614">
        <f t="shared" si="0"/>
        <v>9540</v>
      </c>
      <c r="H43" s="1615">
        <v>4135</v>
      </c>
      <c r="I43" s="1734">
        <f>+H43/B43</f>
        <v>0.54172671295689767</v>
      </c>
      <c r="J43" s="1464"/>
      <c r="O43" s="1253"/>
      <c r="P43" s="1253"/>
      <c r="Q43" s="1253"/>
      <c r="R43" s="1253"/>
      <c r="S43" s="1253"/>
      <c r="T43" s="1253"/>
      <c r="U43" s="1622"/>
      <c r="V43" s="1622"/>
      <c r="BC43" s="1465"/>
    </row>
    <row r="44" spans="1:55" hidden="1">
      <c r="A44" s="1733">
        <v>41518</v>
      </c>
      <c r="B44" s="1616">
        <v>7679</v>
      </c>
      <c r="C44" s="1617">
        <v>1377</v>
      </c>
      <c r="D44" s="1616">
        <v>168</v>
      </c>
      <c r="E44" s="1617">
        <v>17</v>
      </c>
      <c r="F44" s="1616">
        <v>354</v>
      </c>
      <c r="G44" s="1614">
        <f t="shared" si="0"/>
        <v>9595</v>
      </c>
      <c r="H44" s="1618">
        <v>4202</v>
      </c>
      <c r="I44" s="1734">
        <f t="shared" ref="I44:I58" si="2">+H44/B44</f>
        <v>0.54720666753483527</v>
      </c>
      <c r="J44" s="1464"/>
      <c r="O44" s="1253"/>
      <c r="P44" s="1253"/>
      <c r="Q44" s="1253"/>
      <c r="R44" s="1253"/>
      <c r="S44" s="1253"/>
      <c r="T44" s="1253"/>
      <c r="U44" s="1622"/>
      <c r="V44" s="1622"/>
      <c r="BC44" s="1465"/>
    </row>
    <row r="45" spans="1:55" hidden="1">
      <c r="A45" s="1733">
        <v>41548</v>
      </c>
      <c r="B45" s="1613">
        <v>7712</v>
      </c>
      <c r="C45" s="1614">
        <v>1386</v>
      </c>
      <c r="D45" s="1613">
        <v>169</v>
      </c>
      <c r="E45" s="1614">
        <v>17</v>
      </c>
      <c r="F45" s="1613">
        <v>344</v>
      </c>
      <c r="G45" s="1614">
        <f t="shared" si="0"/>
        <v>9628</v>
      </c>
      <c r="H45" s="1615">
        <v>4218</v>
      </c>
      <c r="I45" s="1734">
        <f t="shared" si="2"/>
        <v>0.54693983402489632</v>
      </c>
      <c r="J45" s="1464"/>
      <c r="O45" s="1253"/>
      <c r="P45" s="1253"/>
      <c r="Q45" s="1253"/>
      <c r="R45" s="1253"/>
      <c r="S45" s="1253"/>
      <c r="T45" s="1253"/>
      <c r="U45" s="1622"/>
      <c r="V45" s="1622"/>
    </row>
    <row r="46" spans="1:55" hidden="1">
      <c r="A46" s="1733">
        <v>41579</v>
      </c>
      <c r="B46" s="1616">
        <v>7743</v>
      </c>
      <c r="C46" s="1617">
        <v>1389</v>
      </c>
      <c r="D46" s="1616">
        <v>170</v>
      </c>
      <c r="E46" s="1617">
        <v>17</v>
      </c>
      <c r="F46" s="1616">
        <v>352</v>
      </c>
      <c r="G46" s="1614">
        <f t="shared" si="0"/>
        <v>9671</v>
      </c>
      <c r="H46" s="1618">
        <v>4030</v>
      </c>
      <c r="I46" s="1734">
        <f t="shared" si="2"/>
        <v>0.52047010202763788</v>
      </c>
      <c r="J46" s="1464"/>
      <c r="O46" s="1253"/>
      <c r="P46" s="1253"/>
      <c r="Q46" s="1253"/>
      <c r="R46" s="1253"/>
      <c r="S46" s="1253"/>
      <c r="T46" s="1253"/>
      <c r="U46" s="1622"/>
      <c r="V46" s="1622"/>
    </row>
    <row r="47" spans="1:55" hidden="1">
      <c r="A47" s="1733">
        <v>41609</v>
      </c>
      <c r="B47" s="1613">
        <v>7782</v>
      </c>
      <c r="C47" s="1614">
        <v>1391</v>
      </c>
      <c r="D47" s="1613">
        <v>174</v>
      </c>
      <c r="E47" s="1614">
        <v>17</v>
      </c>
      <c r="F47" s="1613">
        <v>361</v>
      </c>
      <c r="G47" s="1614">
        <f t="shared" si="0"/>
        <v>9725</v>
      </c>
      <c r="H47" s="1615">
        <v>4022</v>
      </c>
      <c r="I47" s="1734">
        <f t="shared" si="2"/>
        <v>0.51683371883834495</v>
      </c>
      <c r="J47" s="1464"/>
      <c r="O47" s="1253"/>
      <c r="P47" s="1253"/>
      <c r="Q47" s="1253"/>
      <c r="R47" s="1253"/>
      <c r="S47" s="1253"/>
      <c r="T47" s="1253"/>
      <c r="U47" s="1622"/>
      <c r="V47" s="1622"/>
    </row>
    <row r="48" spans="1:55" hidden="1">
      <c r="A48" s="1733">
        <v>41640</v>
      </c>
      <c r="B48" s="1619">
        <v>7804</v>
      </c>
      <c r="C48" s="1620">
        <v>1394</v>
      </c>
      <c r="D48" s="1619">
        <v>173</v>
      </c>
      <c r="E48" s="1620">
        <v>17</v>
      </c>
      <c r="F48" s="1619">
        <v>349</v>
      </c>
      <c r="G48" s="1614">
        <f t="shared" si="0"/>
        <v>9737</v>
      </c>
      <c r="H48" s="1621">
        <v>3532</v>
      </c>
      <c r="I48" s="1734">
        <f t="shared" si="2"/>
        <v>0.45258841619682216</v>
      </c>
      <c r="J48" s="1464"/>
      <c r="O48" s="1253"/>
      <c r="P48" s="1253"/>
      <c r="Q48" s="1253"/>
      <c r="R48" s="1253"/>
      <c r="S48" s="1253"/>
      <c r="T48" s="1253"/>
      <c r="U48" s="1622"/>
      <c r="V48" s="1622"/>
    </row>
    <row r="49" spans="1:22" hidden="1">
      <c r="A49" s="1733">
        <v>41671</v>
      </c>
      <c r="B49" s="1619">
        <v>7852</v>
      </c>
      <c r="C49" s="1620">
        <v>1405</v>
      </c>
      <c r="D49" s="1619">
        <v>177</v>
      </c>
      <c r="E49" s="1620">
        <v>17</v>
      </c>
      <c r="F49" s="1619">
        <v>343</v>
      </c>
      <c r="G49" s="1614">
        <f t="shared" si="0"/>
        <v>9794</v>
      </c>
      <c r="H49" s="1621">
        <v>3575</v>
      </c>
      <c r="I49" s="1734">
        <f t="shared" si="2"/>
        <v>0.45529801324503311</v>
      </c>
      <c r="J49" s="1464"/>
      <c r="O49" s="1253"/>
      <c r="P49" s="1253"/>
      <c r="Q49" s="1253"/>
      <c r="R49" s="1253"/>
      <c r="S49" s="1253"/>
      <c r="T49" s="1253"/>
      <c r="U49" s="1622"/>
      <c r="V49" s="1622"/>
    </row>
    <row r="50" spans="1:22" hidden="1">
      <c r="A50" s="1733">
        <v>41699</v>
      </c>
      <c r="B50" s="1619">
        <v>7894</v>
      </c>
      <c r="C50" s="1620">
        <v>1410</v>
      </c>
      <c r="D50" s="1619">
        <v>177</v>
      </c>
      <c r="E50" s="1620">
        <v>17</v>
      </c>
      <c r="F50" s="1619">
        <v>345</v>
      </c>
      <c r="G50" s="1614">
        <f t="shared" si="0"/>
        <v>9843</v>
      </c>
      <c r="H50" s="1621">
        <v>3332</v>
      </c>
      <c r="I50" s="1734">
        <f t="shared" si="2"/>
        <v>0.42209272865467445</v>
      </c>
      <c r="J50" s="1464"/>
      <c r="O50" s="1253"/>
      <c r="P50" s="1253"/>
      <c r="Q50" s="1253"/>
      <c r="R50" s="1253"/>
      <c r="S50" s="1253"/>
      <c r="T50" s="1253"/>
      <c r="U50" s="1622"/>
      <c r="V50" s="1622"/>
    </row>
    <row r="51" spans="1:22" hidden="1">
      <c r="A51" s="1733">
        <v>41730</v>
      </c>
      <c r="B51" s="1619">
        <v>7929</v>
      </c>
      <c r="C51" s="1620">
        <v>1407</v>
      </c>
      <c r="D51" s="1619">
        <v>177</v>
      </c>
      <c r="E51" s="1620">
        <v>17</v>
      </c>
      <c r="F51" s="1619">
        <v>346</v>
      </c>
      <c r="G51" s="1614">
        <f t="shared" si="0"/>
        <v>9876</v>
      </c>
      <c r="H51" s="1621">
        <v>3417</v>
      </c>
      <c r="I51" s="1734">
        <f t="shared" si="2"/>
        <v>0.43094967839576237</v>
      </c>
      <c r="J51" s="1464"/>
      <c r="O51" s="1253"/>
      <c r="P51" s="1253"/>
      <c r="Q51" s="1253"/>
      <c r="R51" s="1253"/>
      <c r="S51" s="1253"/>
      <c r="T51" s="1253"/>
      <c r="U51" s="1622"/>
      <c r="V51" s="1622"/>
    </row>
    <row r="52" spans="1:22" hidden="1">
      <c r="A52" s="1733">
        <v>41760</v>
      </c>
      <c r="B52" s="1619">
        <v>7966</v>
      </c>
      <c r="C52" s="1620">
        <v>1408</v>
      </c>
      <c r="D52" s="1619">
        <v>176</v>
      </c>
      <c r="E52" s="1620">
        <v>17</v>
      </c>
      <c r="F52" s="1619">
        <v>349</v>
      </c>
      <c r="G52" s="1614">
        <f t="shared" si="0"/>
        <v>9916</v>
      </c>
      <c r="H52" s="1621">
        <v>3405</v>
      </c>
      <c r="I52" s="1734">
        <f t="shared" si="2"/>
        <v>0.42744162691438614</v>
      </c>
      <c r="J52" s="1464"/>
      <c r="O52" s="1253"/>
      <c r="P52" s="1253"/>
      <c r="Q52" s="1253"/>
      <c r="R52" s="1253"/>
      <c r="S52" s="1253"/>
      <c r="T52" s="1253"/>
      <c r="U52" s="1622"/>
      <c r="V52" s="1622"/>
    </row>
    <row r="53" spans="1:22" hidden="1">
      <c r="A53" s="1733">
        <v>41791</v>
      </c>
      <c r="B53" s="1619">
        <v>8001</v>
      </c>
      <c r="C53" s="1620">
        <v>1420</v>
      </c>
      <c r="D53" s="1619">
        <v>175</v>
      </c>
      <c r="E53" s="1620">
        <v>17</v>
      </c>
      <c r="F53" s="1619">
        <v>344</v>
      </c>
      <c r="G53" s="1614">
        <f t="shared" si="0"/>
        <v>9957</v>
      </c>
      <c r="H53" s="1621">
        <v>3774</v>
      </c>
      <c r="I53" s="1734">
        <f t="shared" si="2"/>
        <v>0.47169103862017248</v>
      </c>
      <c r="J53" s="1464"/>
      <c r="O53" s="1253"/>
      <c r="P53" s="1253"/>
      <c r="Q53" s="1253"/>
      <c r="R53" s="1253"/>
      <c r="S53" s="1253"/>
      <c r="T53" s="1253"/>
      <c r="U53" s="1622"/>
      <c r="V53" s="1622"/>
    </row>
    <row r="54" spans="1:22" hidden="1">
      <c r="A54" s="1733">
        <v>41821</v>
      </c>
      <c r="B54" s="1619">
        <v>8057</v>
      </c>
      <c r="C54" s="1620">
        <v>1435</v>
      </c>
      <c r="D54" s="1619">
        <v>175</v>
      </c>
      <c r="E54" s="1620">
        <v>18</v>
      </c>
      <c r="F54" s="1619">
        <v>347</v>
      </c>
      <c r="G54" s="1614">
        <f t="shared" si="0"/>
        <v>10032</v>
      </c>
      <c r="H54" s="1621">
        <v>3903</v>
      </c>
      <c r="I54" s="1734">
        <f t="shared" si="2"/>
        <v>0.48442348268586322</v>
      </c>
      <c r="J54" s="1464"/>
      <c r="O54" s="1253"/>
      <c r="P54" s="1253"/>
      <c r="Q54" s="1253"/>
      <c r="R54" s="1253"/>
      <c r="S54" s="1253"/>
      <c r="T54" s="1253"/>
      <c r="U54" s="1622"/>
      <c r="V54" s="1622"/>
    </row>
    <row r="55" spans="1:22" hidden="1">
      <c r="A55" s="1733">
        <v>41852</v>
      </c>
      <c r="B55" s="1619">
        <v>8115</v>
      </c>
      <c r="C55" s="1620">
        <v>1446</v>
      </c>
      <c r="D55" s="1619">
        <v>175</v>
      </c>
      <c r="E55" s="1620">
        <v>18</v>
      </c>
      <c r="F55" s="1619">
        <v>352</v>
      </c>
      <c r="G55" s="1614">
        <f t="shared" si="0"/>
        <v>10106</v>
      </c>
      <c r="H55" s="1621">
        <v>4096</v>
      </c>
      <c r="I55" s="1734">
        <f t="shared" si="2"/>
        <v>0.50474430067775722</v>
      </c>
      <c r="J55" s="1464"/>
      <c r="O55" s="1253"/>
      <c r="P55" s="1253"/>
      <c r="Q55" s="1253"/>
      <c r="R55" s="1253"/>
      <c r="S55" s="1253"/>
      <c r="T55" s="1253"/>
      <c r="U55" s="1622"/>
      <c r="V55" s="1622"/>
    </row>
    <row r="56" spans="1:22" hidden="1">
      <c r="A56" s="1733">
        <v>41883</v>
      </c>
      <c r="B56" s="1619">
        <v>8152</v>
      </c>
      <c r="C56" s="1620">
        <v>1451</v>
      </c>
      <c r="D56" s="1619">
        <v>170</v>
      </c>
      <c r="E56" s="1620">
        <v>18</v>
      </c>
      <c r="F56" s="1619">
        <v>365</v>
      </c>
      <c r="G56" s="1614">
        <f t="shared" si="0"/>
        <v>10156</v>
      </c>
      <c r="H56" s="1621">
        <v>4379</v>
      </c>
      <c r="I56" s="1734">
        <f t="shared" si="2"/>
        <v>0.53716879293424924</v>
      </c>
      <c r="J56" s="1464"/>
      <c r="O56" s="1253"/>
      <c r="P56" s="1253"/>
      <c r="Q56" s="1253"/>
      <c r="R56" s="1253"/>
      <c r="S56" s="1253"/>
      <c r="T56" s="1253"/>
      <c r="U56" s="1622"/>
      <c r="V56" s="1622"/>
    </row>
    <row r="57" spans="1:22" hidden="1">
      <c r="A57" s="1733">
        <v>41913</v>
      </c>
      <c r="B57" s="1619">
        <v>8197</v>
      </c>
      <c r="C57" s="1620">
        <v>1455</v>
      </c>
      <c r="D57" s="1619">
        <v>170</v>
      </c>
      <c r="E57" s="1620">
        <v>18</v>
      </c>
      <c r="F57" s="1619">
        <v>365</v>
      </c>
      <c r="G57" s="1614">
        <f t="shared" si="0"/>
        <v>10205</v>
      </c>
      <c r="H57" s="1621">
        <v>4404</v>
      </c>
      <c r="I57" s="1734">
        <f t="shared" si="2"/>
        <v>0.53726973282908386</v>
      </c>
      <c r="J57" s="1464"/>
      <c r="O57" s="1253"/>
      <c r="P57" s="1253"/>
      <c r="Q57" s="1253"/>
      <c r="R57" s="1253"/>
      <c r="S57" s="1253"/>
      <c r="T57" s="1253"/>
      <c r="U57" s="1622"/>
      <c r="V57" s="1622"/>
    </row>
    <row r="58" spans="1:22" hidden="1">
      <c r="A58" s="1733">
        <v>41944</v>
      </c>
      <c r="B58" s="1619">
        <v>8241</v>
      </c>
      <c r="C58" s="1620">
        <v>1459</v>
      </c>
      <c r="D58" s="1619">
        <v>170</v>
      </c>
      <c r="E58" s="1619">
        <v>28</v>
      </c>
      <c r="F58" s="1619">
        <v>354</v>
      </c>
      <c r="G58" s="1614">
        <f t="shared" si="0"/>
        <v>10252</v>
      </c>
      <c r="H58" s="1621">
        <v>4376</v>
      </c>
      <c r="I58" s="1734">
        <f t="shared" si="2"/>
        <v>0.53100351899041376</v>
      </c>
      <c r="J58" s="1464"/>
      <c r="O58" s="1253"/>
      <c r="P58" s="1253"/>
      <c r="Q58" s="1253"/>
      <c r="R58" s="1253"/>
      <c r="S58" s="1253"/>
      <c r="T58" s="1253"/>
      <c r="U58" s="1622"/>
      <c r="V58" s="1622"/>
    </row>
    <row r="59" spans="1:22" hidden="1">
      <c r="A59" s="1733">
        <v>41974</v>
      </c>
      <c r="B59" s="1619">
        <v>8256</v>
      </c>
      <c r="C59" s="1620">
        <v>1462</v>
      </c>
      <c r="D59" s="1619">
        <v>170</v>
      </c>
      <c r="E59" s="1619">
        <v>28</v>
      </c>
      <c r="F59" s="1619">
        <v>352</v>
      </c>
      <c r="G59" s="1614">
        <f t="shared" si="0"/>
        <v>10268</v>
      </c>
      <c r="H59" s="1621">
        <v>3954</v>
      </c>
      <c r="I59" s="1734">
        <f t="shared" ref="I59:I76" si="3">+H59/B59</f>
        <v>0.47892441860465118</v>
      </c>
      <c r="J59" s="1464"/>
      <c r="O59" s="1253"/>
      <c r="P59" s="1253"/>
      <c r="Q59" s="1253"/>
      <c r="R59" s="1253"/>
      <c r="S59" s="1253"/>
      <c r="T59" s="1253"/>
      <c r="U59" s="1622"/>
      <c r="V59" s="1622"/>
    </row>
    <row r="60" spans="1:22" hidden="1">
      <c r="A60" s="1733">
        <v>42005</v>
      </c>
      <c r="B60" s="1619">
        <v>8285</v>
      </c>
      <c r="C60" s="1620">
        <v>1480</v>
      </c>
      <c r="D60" s="1619">
        <v>170</v>
      </c>
      <c r="E60" s="1619">
        <v>28</v>
      </c>
      <c r="F60" s="1619">
        <v>354</v>
      </c>
      <c r="G60" s="1614">
        <f t="shared" si="0"/>
        <v>10317</v>
      </c>
      <c r="H60" s="1621">
        <v>3850</v>
      </c>
      <c r="I60" s="1734">
        <f t="shared" si="3"/>
        <v>0.46469523234761617</v>
      </c>
      <c r="J60" s="1464"/>
      <c r="O60" s="1253"/>
      <c r="P60" s="1253"/>
      <c r="Q60" s="1253"/>
      <c r="R60" s="1253"/>
      <c r="S60" s="1253"/>
      <c r="T60" s="1253"/>
      <c r="U60" s="1622"/>
      <c r="V60" s="1622"/>
    </row>
    <row r="61" spans="1:22" hidden="1">
      <c r="A61" s="1733">
        <v>42036</v>
      </c>
      <c r="B61" s="1619">
        <v>8334</v>
      </c>
      <c r="C61" s="1620">
        <v>1478</v>
      </c>
      <c r="D61" s="1619">
        <v>170</v>
      </c>
      <c r="E61" s="1619">
        <v>28</v>
      </c>
      <c r="F61" s="1619">
        <v>356</v>
      </c>
      <c r="G61" s="1614">
        <f t="shared" ref="G61:G66" si="4">SUM(B61:F61)</f>
        <v>10366</v>
      </c>
      <c r="H61" s="1621">
        <v>4107</v>
      </c>
      <c r="I61" s="1734">
        <f t="shared" ref="I61:I66" si="5">+H61/B61</f>
        <v>0.49280057595392368</v>
      </c>
      <c r="J61" s="1464"/>
      <c r="O61" s="1253"/>
      <c r="P61" s="1253"/>
      <c r="Q61" s="1253"/>
      <c r="R61" s="1253"/>
      <c r="S61" s="1253"/>
      <c r="T61" s="1253"/>
      <c r="U61" s="1622"/>
      <c r="V61" s="1622"/>
    </row>
    <row r="62" spans="1:22" hidden="1">
      <c r="A62" s="1733">
        <v>42064</v>
      </c>
      <c r="B62" s="1619">
        <v>8370</v>
      </c>
      <c r="C62" s="1620">
        <v>1474</v>
      </c>
      <c r="D62" s="1619">
        <v>171</v>
      </c>
      <c r="E62" s="1619">
        <v>28</v>
      </c>
      <c r="F62" s="1619">
        <v>359</v>
      </c>
      <c r="G62" s="1614">
        <f t="shared" si="4"/>
        <v>10402</v>
      </c>
      <c r="H62" s="1621">
        <v>3660</v>
      </c>
      <c r="I62" s="1734">
        <f t="shared" si="5"/>
        <v>0.43727598566308246</v>
      </c>
      <c r="J62" s="1464"/>
      <c r="O62" s="1253"/>
      <c r="P62" s="1253"/>
      <c r="Q62" s="1253"/>
      <c r="R62" s="1253"/>
      <c r="S62" s="1253"/>
      <c r="T62" s="1253"/>
      <c r="U62" s="1622"/>
      <c r="V62" s="1622"/>
    </row>
    <row r="63" spans="1:22" hidden="1">
      <c r="A63" s="1733">
        <v>42095</v>
      </c>
      <c r="B63" s="1619">
        <v>8371</v>
      </c>
      <c r="C63" s="1620">
        <v>1486</v>
      </c>
      <c r="D63" s="1619">
        <v>171</v>
      </c>
      <c r="E63" s="1619">
        <v>28</v>
      </c>
      <c r="F63" s="1619">
        <v>355</v>
      </c>
      <c r="G63" s="1614">
        <f t="shared" si="4"/>
        <v>10411</v>
      </c>
      <c r="H63" s="1621">
        <v>3865</v>
      </c>
      <c r="I63" s="1734">
        <f t="shared" si="5"/>
        <v>0.46171305698243936</v>
      </c>
      <c r="J63" s="1464"/>
      <c r="O63" s="1253"/>
      <c r="P63" s="1253"/>
      <c r="Q63" s="1253"/>
      <c r="R63" s="1253"/>
      <c r="S63" s="1253"/>
      <c r="T63" s="1253"/>
      <c r="U63" s="1622"/>
      <c r="V63" s="1622"/>
    </row>
    <row r="64" spans="1:22" hidden="1">
      <c r="A64" s="1733">
        <v>42125</v>
      </c>
      <c r="B64" s="1619">
        <v>8422</v>
      </c>
      <c r="C64" s="1620">
        <v>1496</v>
      </c>
      <c r="D64" s="1619">
        <v>171</v>
      </c>
      <c r="E64" s="1619">
        <v>28</v>
      </c>
      <c r="F64" s="1619">
        <v>358</v>
      </c>
      <c r="G64" s="1614">
        <f t="shared" si="4"/>
        <v>10475</v>
      </c>
      <c r="H64" s="1621">
        <v>3656</v>
      </c>
      <c r="I64" s="1734">
        <f t="shared" si="5"/>
        <v>0.43410116361909284</v>
      </c>
      <c r="J64" s="1464"/>
      <c r="O64" s="1253"/>
      <c r="P64" s="1253"/>
      <c r="Q64" s="1253"/>
      <c r="R64" s="1253"/>
      <c r="S64" s="1253"/>
      <c r="T64" s="1253"/>
      <c r="U64" s="1622"/>
      <c r="V64" s="1622"/>
    </row>
    <row r="65" spans="1:22" hidden="1">
      <c r="A65" s="1733">
        <v>42156</v>
      </c>
      <c r="B65" s="1619">
        <v>8453</v>
      </c>
      <c r="C65" s="1620">
        <v>1496</v>
      </c>
      <c r="D65" s="1619">
        <v>172</v>
      </c>
      <c r="E65" s="1619">
        <v>28</v>
      </c>
      <c r="F65" s="1619">
        <v>355</v>
      </c>
      <c r="G65" s="1614">
        <f t="shared" si="4"/>
        <v>10504</v>
      </c>
      <c r="H65" s="1621">
        <v>3832</v>
      </c>
      <c r="I65" s="1734">
        <f t="shared" si="5"/>
        <v>0.45333017863480424</v>
      </c>
      <c r="J65" s="1464"/>
      <c r="O65" s="1253"/>
      <c r="P65" s="1253"/>
      <c r="Q65" s="1253"/>
      <c r="R65" s="1253"/>
      <c r="S65" s="1253"/>
      <c r="T65" s="1253"/>
      <c r="U65" s="1622"/>
      <c r="V65" s="1622"/>
    </row>
    <row r="66" spans="1:22" ht="15" hidden="1">
      <c r="A66" s="1733">
        <v>42278</v>
      </c>
      <c r="B66" s="1619">
        <v>8511</v>
      </c>
      <c r="C66" s="1620">
        <v>1620</v>
      </c>
      <c r="D66" s="1619">
        <v>174</v>
      </c>
      <c r="E66" s="1619">
        <v>27</v>
      </c>
      <c r="F66" s="1619">
        <v>358</v>
      </c>
      <c r="G66" s="1614">
        <f t="shared" si="4"/>
        <v>10690</v>
      </c>
      <c r="H66" s="1621">
        <v>3812</v>
      </c>
      <c r="I66" s="1734">
        <f t="shared" si="5"/>
        <v>0.44789096463400307</v>
      </c>
      <c r="J66" s="1464"/>
      <c r="L66" s="1467"/>
      <c r="M66" s="1467"/>
      <c r="N66" s="1467"/>
      <c r="O66" s="1623"/>
      <c r="P66" s="1623"/>
      <c r="Q66" s="1623"/>
      <c r="R66" s="1623"/>
      <c r="S66" s="1253"/>
      <c r="T66" s="1253"/>
      <c r="U66" s="1622"/>
      <c r="V66" s="1622"/>
    </row>
    <row r="67" spans="1:22" ht="15" hidden="1">
      <c r="A67" s="1733">
        <v>42309</v>
      </c>
      <c r="B67" s="1619">
        <v>8541</v>
      </c>
      <c r="C67" s="1620">
        <v>1621</v>
      </c>
      <c r="D67" s="1619">
        <v>175</v>
      </c>
      <c r="E67" s="1619">
        <v>27</v>
      </c>
      <c r="F67" s="1619">
        <v>366</v>
      </c>
      <c r="G67" s="1614">
        <f t="shared" si="0"/>
        <v>10730</v>
      </c>
      <c r="H67" s="1621">
        <v>3858</v>
      </c>
      <c r="I67" s="1734">
        <f t="shared" si="3"/>
        <v>0.45170354759395853</v>
      </c>
      <c r="J67" s="1464"/>
      <c r="K67" s="1467"/>
      <c r="O67" s="1253"/>
      <c r="P67" s="1253"/>
      <c r="Q67" s="1253"/>
      <c r="R67" s="1253"/>
      <c r="S67" s="1623"/>
      <c r="T67" s="1253"/>
      <c r="U67" s="1622"/>
      <c r="V67" s="1622"/>
    </row>
    <row r="68" spans="1:22" s="1466" customFormat="1" ht="15" hidden="1">
      <c r="A68" s="1736">
        <v>42339</v>
      </c>
      <c r="B68" s="1624">
        <v>8585</v>
      </c>
      <c r="C68" s="1625">
        <v>1638</v>
      </c>
      <c r="D68" s="1624">
        <v>176</v>
      </c>
      <c r="E68" s="1624">
        <v>27</v>
      </c>
      <c r="F68" s="1624">
        <v>362</v>
      </c>
      <c r="G68" s="1626">
        <f t="shared" si="0"/>
        <v>10788</v>
      </c>
      <c r="H68" s="1627">
        <v>3389</v>
      </c>
      <c r="I68" s="1737">
        <f t="shared" si="3"/>
        <v>0.3947582993593477</v>
      </c>
      <c r="J68" s="1628"/>
      <c r="K68" s="833"/>
      <c r="L68" s="833"/>
      <c r="M68" s="833"/>
      <c r="N68" s="833"/>
      <c r="O68" s="1253"/>
      <c r="P68" s="1253"/>
      <c r="Q68" s="1253"/>
      <c r="R68" s="1253"/>
      <c r="S68" s="1253"/>
      <c r="T68" s="1623"/>
      <c r="U68" s="1629"/>
      <c r="V68" s="1629"/>
    </row>
    <row r="69" spans="1:22" hidden="1">
      <c r="A69" s="1733">
        <v>42370</v>
      </c>
      <c r="B69" s="1619">
        <v>8565</v>
      </c>
      <c r="C69" s="1620">
        <v>1664</v>
      </c>
      <c r="D69" s="1619">
        <v>175</v>
      </c>
      <c r="E69" s="1619">
        <v>27</v>
      </c>
      <c r="F69" s="1619">
        <v>361</v>
      </c>
      <c r="G69" s="1614">
        <f t="shared" si="0"/>
        <v>10792</v>
      </c>
      <c r="H69" s="1621">
        <v>3503</v>
      </c>
      <c r="I69" s="1734">
        <f t="shared" si="3"/>
        <v>0.40899007589025105</v>
      </c>
      <c r="J69" s="1464"/>
      <c r="O69" s="1253"/>
      <c r="P69" s="1253"/>
      <c r="Q69" s="1253"/>
      <c r="R69" s="1253"/>
      <c r="S69" s="1253"/>
      <c r="T69" s="1253"/>
      <c r="U69" s="1622"/>
      <c r="V69" s="1622"/>
    </row>
    <row r="70" spans="1:22" hidden="1">
      <c r="A70" s="1733">
        <v>42401</v>
      </c>
      <c r="B70" s="1619">
        <v>8592</v>
      </c>
      <c r="C70" s="1620">
        <v>1676</v>
      </c>
      <c r="D70" s="1619">
        <v>175</v>
      </c>
      <c r="E70" s="1619">
        <v>27</v>
      </c>
      <c r="F70" s="1619">
        <v>357</v>
      </c>
      <c r="G70" s="1614">
        <f t="shared" si="0"/>
        <v>10827</v>
      </c>
      <c r="H70" s="1621">
        <v>1747</v>
      </c>
      <c r="I70" s="1734">
        <f t="shared" si="3"/>
        <v>0.20332867783985104</v>
      </c>
      <c r="J70" s="1464"/>
      <c r="O70" s="1253"/>
      <c r="P70" s="1253"/>
      <c r="Q70" s="1253"/>
      <c r="R70" s="1253"/>
      <c r="S70" s="1253"/>
      <c r="T70" s="1253"/>
      <c r="U70" s="1622"/>
      <c r="V70" s="1622"/>
    </row>
    <row r="71" spans="1:22" hidden="1">
      <c r="A71" s="1733">
        <v>42430</v>
      </c>
      <c r="B71" s="1619">
        <v>8537</v>
      </c>
      <c r="C71" s="1620">
        <v>1759</v>
      </c>
      <c r="D71" s="1619">
        <v>175</v>
      </c>
      <c r="E71" s="1619">
        <v>27</v>
      </c>
      <c r="F71" s="1619">
        <v>361</v>
      </c>
      <c r="G71" s="1614">
        <f t="shared" si="0"/>
        <v>10859</v>
      </c>
      <c r="H71" s="1621">
        <v>1250</v>
      </c>
      <c r="I71" s="1734">
        <f t="shared" si="3"/>
        <v>0.14642145952910859</v>
      </c>
      <c r="J71" s="1464"/>
      <c r="O71" s="1253"/>
      <c r="P71" s="1253"/>
      <c r="Q71" s="1253"/>
      <c r="R71" s="1253"/>
      <c r="S71" s="1253"/>
      <c r="T71" s="1253"/>
      <c r="U71" s="1622"/>
      <c r="V71" s="1622"/>
    </row>
    <row r="72" spans="1:22" hidden="1">
      <c r="A72" s="1733">
        <v>42461</v>
      </c>
      <c r="B72" s="1619">
        <v>8590</v>
      </c>
      <c r="C72" s="1620">
        <v>1756</v>
      </c>
      <c r="D72" s="1619">
        <v>175</v>
      </c>
      <c r="E72" s="1619">
        <v>26</v>
      </c>
      <c r="F72" s="1619">
        <v>356</v>
      </c>
      <c r="G72" s="1614">
        <f t="shared" si="0"/>
        <v>10903</v>
      </c>
      <c r="H72" s="1621">
        <v>938</v>
      </c>
      <c r="I72" s="1734">
        <f t="shared" si="3"/>
        <v>0.10919674039580908</v>
      </c>
      <c r="J72" s="1464"/>
      <c r="O72" s="1253"/>
      <c r="P72" s="1253"/>
      <c r="Q72" s="1253"/>
      <c r="R72" s="1253"/>
      <c r="S72" s="1253"/>
      <c r="T72" s="1253"/>
      <c r="U72" s="1622"/>
      <c r="V72" s="1622"/>
    </row>
    <row r="73" spans="1:22" hidden="1">
      <c r="A73" s="1733">
        <v>42491</v>
      </c>
      <c r="B73" s="1619">
        <v>8637</v>
      </c>
      <c r="C73" s="1620">
        <v>1766</v>
      </c>
      <c r="D73" s="1619">
        <v>175</v>
      </c>
      <c r="E73" s="1619">
        <v>26</v>
      </c>
      <c r="F73" s="1619">
        <v>367</v>
      </c>
      <c r="G73" s="1614">
        <f t="shared" si="0"/>
        <v>10971</v>
      </c>
      <c r="H73" s="1621">
        <v>1025</v>
      </c>
      <c r="I73" s="1734">
        <f t="shared" si="3"/>
        <v>0.11867546601829339</v>
      </c>
      <c r="J73" s="1464"/>
      <c r="O73" s="1253"/>
      <c r="P73" s="1253"/>
      <c r="Q73" s="1253"/>
      <c r="R73" s="1253"/>
      <c r="S73" s="1253"/>
      <c r="T73" s="1253"/>
      <c r="U73" s="1622"/>
      <c r="V73" s="1622"/>
    </row>
    <row r="74" spans="1:22" hidden="1">
      <c r="A74" s="1733">
        <v>42522</v>
      </c>
      <c r="B74" s="1619">
        <v>8681</v>
      </c>
      <c r="C74" s="1620">
        <v>1776</v>
      </c>
      <c r="D74" s="1619">
        <v>177</v>
      </c>
      <c r="E74" s="1619">
        <v>27</v>
      </c>
      <c r="F74" s="1619">
        <v>361</v>
      </c>
      <c r="G74" s="1614">
        <f t="shared" si="0"/>
        <v>11022</v>
      </c>
      <c r="H74" s="1621">
        <v>1683</v>
      </c>
      <c r="I74" s="1734">
        <f t="shared" si="3"/>
        <v>0.19387167377030295</v>
      </c>
      <c r="J74" s="1464"/>
      <c r="O74" s="1253"/>
      <c r="P74" s="1253"/>
      <c r="Q74" s="1253"/>
      <c r="R74" s="1253"/>
      <c r="S74" s="1253"/>
      <c r="T74" s="1253"/>
      <c r="U74" s="1622"/>
      <c r="V74" s="1622"/>
    </row>
    <row r="75" spans="1:22" hidden="1">
      <c r="A75" s="1733">
        <v>42552</v>
      </c>
      <c r="B75" s="1619">
        <v>8722</v>
      </c>
      <c r="C75" s="1620">
        <v>1783</v>
      </c>
      <c r="D75" s="1619">
        <v>175</v>
      </c>
      <c r="E75" s="1619">
        <v>27</v>
      </c>
      <c r="F75" s="1619">
        <v>364</v>
      </c>
      <c r="G75" s="1614">
        <f t="shared" si="0"/>
        <v>11071</v>
      </c>
      <c r="H75" s="1621">
        <v>2313</v>
      </c>
      <c r="I75" s="1734">
        <f t="shared" si="3"/>
        <v>0.26519146984636549</v>
      </c>
      <c r="J75" s="1464"/>
      <c r="O75" s="1253"/>
      <c r="P75" s="1253"/>
      <c r="Q75" s="1253"/>
      <c r="R75" s="1253"/>
      <c r="S75" s="1253"/>
      <c r="T75" s="1253"/>
      <c r="U75" s="1622"/>
      <c r="V75" s="1622"/>
    </row>
    <row r="76" spans="1:22" hidden="1">
      <c r="A76" s="1733">
        <v>42583</v>
      </c>
      <c r="B76" s="1619">
        <v>8759</v>
      </c>
      <c r="C76" s="1620">
        <v>1793</v>
      </c>
      <c r="D76" s="1619">
        <v>176</v>
      </c>
      <c r="E76" s="1619">
        <v>28</v>
      </c>
      <c r="F76" s="1619">
        <v>364</v>
      </c>
      <c r="G76" s="1614">
        <f>SUM(B76:F76)</f>
        <v>11120</v>
      </c>
      <c r="H76" s="1621">
        <v>2881</v>
      </c>
      <c r="I76" s="1734">
        <f t="shared" si="3"/>
        <v>0.32891882635003994</v>
      </c>
      <c r="J76" s="1464"/>
      <c r="O76" s="1253"/>
      <c r="P76" s="1253"/>
      <c r="Q76" s="1253"/>
      <c r="R76" s="1253"/>
      <c r="S76" s="1253"/>
      <c r="T76" s="1253"/>
      <c r="U76" s="1622"/>
      <c r="V76" s="1622"/>
    </row>
    <row r="77" spans="1:22" hidden="1">
      <c r="A77" s="1733">
        <v>42614</v>
      </c>
      <c r="B77" s="1619">
        <v>8777</v>
      </c>
      <c r="C77" s="1620">
        <v>1790</v>
      </c>
      <c r="D77" s="1619">
        <v>177</v>
      </c>
      <c r="E77" s="1619">
        <v>28</v>
      </c>
      <c r="F77" s="1619">
        <v>361</v>
      </c>
      <c r="G77" s="1614">
        <f>SUM(B77:F77)</f>
        <v>11133</v>
      </c>
      <c r="H77" s="1621">
        <v>3043</v>
      </c>
      <c r="I77" s="1734">
        <f>+H77/B77</f>
        <v>0.34670160647145948</v>
      </c>
      <c r="J77" s="1464"/>
      <c r="O77" s="1253"/>
      <c r="P77" s="1253"/>
      <c r="Q77" s="1253"/>
      <c r="R77" s="1253"/>
      <c r="S77" s="1253"/>
      <c r="T77" s="1253"/>
      <c r="U77" s="1622"/>
      <c r="V77" s="1622"/>
    </row>
    <row r="78" spans="1:22" hidden="1">
      <c r="A78" s="1733">
        <v>42644</v>
      </c>
      <c r="B78" s="1619">
        <v>8807</v>
      </c>
      <c r="C78" s="1620">
        <v>1792</v>
      </c>
      <c r="D78" s="1619">
        <v>176</v>
      </c>
      <c r="E78" s="1619">
        <v>28</v>
      </c>
      <c r="F78" s="1619">
        <v>361</v>
      </c>
      <c r="G78" s="1614">
        <v>11164</v>
      </c>
      <c r="H78" s="1621">
        <v>3092</v>
      </c>
      <c r="I78" s="1734">
        <f t="shared" ref="I78:I96" si="6">+H78/B78</f>
        <v>0.35108436470988985</v>
      </c>
      <c r="J78" s="1464"/>
      <c r="O78" s="1253"/>
      <c r="P78" s="1253"/>
      <c r="Q78" s="1253"/>
      <c r="R78" s="1253"/>
      <c r="S78" s="1253"/>
      <c r="T78" s="1253"/>
      <c r="U78" s="1622"/>
      <c r="V78" s="1622"/>
    </row>
    <row r="79" spans="1:22" hidden="1">
      <c r="A79" s="1733">
        <v>42675</v>
      </c>
      <c r="B79" s="1619">
        <v>8827</v>
      </c>
      <c r="C79" s="1620">
        <v>1810</v>
      </c>
      <c r="D79" s="1619">
        <v>179</v>
      </c>
      <c r="E79" s="1619">
        <v>28</v>
      </c>
      <c r="F79" s="1619">
        <v>368</v>
      </c>
      <c r="G79" s="1614">
        <v>11212</v>
      </c>
      <c r="H79" s="1621">
        <v>3157</v>
      </c>
      <c r="I79" s="1734">
        <f t="shared" si="6"/>
        <v>0.35765265662172879</v>
      </c>
      <c r="J79" s="1464"/>
      <c r="O79" s="1253"/>
      <c r="P79" s="1253"/>
      <c r="Q79" s="1253"/>
      <c r="R79" s="1253"/>
      <c r="S79" s="1253"/>
      <c r="T79" s="1253"/>
      <c r="U79" s="1622"/>
      <c r="V79" s="1622"/>
    </row>
    <row r="80" spans="1:22" hidden="1">
      <c r="A80" s="1738">
        <v>42705</v>
      </c>
      <c r="B80" s="1619">
        <v>8825</v>
      </c>
      <c r="C80" s="1620">
        <v>1834</v>
      </c>
      <c r="D80" s="1619">
        <v>178</v>
      </c>
      <c r="E80" s="1619">
        <v>28</v>
      </c>
      <c r="F80" s="1619">
        <v>369</v>
      </c>
      <c r="G80" s="1620">
        <v>11234</v>
      </c>
      <c r="H80" s="1621">
        <v>3172</v>
      </c>
      <c r="I80" s="1739">
        <f t="shared" si="6"/>
        <v>0.35943342776203968</v>
      </c>
      <c r="J80" s="1464"/>
      <c r="O80" s="1253"/>
      <c r="P80" s="1253"/>
      <c r="Q80" s="1253"/>
      <c r="R80" s="1253"/>
      <c r="S80" s="1253"/>
      <c r="T80" s="1253"/>
      <c r="U80" s="1622"/>
      <c r="V80" s="1622"/>
    </row>
    <row r="81" spans="1:22" hidden="1">
      <c r="A81" s="1193">
        <v>42736</v>
      </c>
      <c r="B81" s="1630">
        <v>8894</v>
      </c>
      <c r="C81" s="1631">
        <v>1857</v>
      </c>
      <c r="D81" s="1631">
        <v>180</v>
      </c>
      <c r="E81" s="1631">
        <v>29</v>
      </c>
      <c r="F81" s="1631">
        <v>372</v>
      </c>
      <c r="G81" s="1631">
        <v>11332</v>
      </c>
      <c r="H81" s="1632">
        <v>1155</v>
      </c>
      <c r="I81" s="1633">
        <f t="shared" si="6"/>
        <v>0.12986282887339778</v>
      </c>
      <c r="J81" s="1464"/>
      <c r="O81" s="1253"/>
      <c r="P81" s="1253"/>
      <c r="Q81" s="1253"/>
      <c r="R81" s="1253"/>
      <c r="S81" s="1253"/>
      <c r="T81" s="1253"/>
      <c r="U81" s="1622"/>
      <c r="V81" s="1622"/>
    </row>
    <row r="82" spans="1:22" hidden="1">
      <c r="A82" s="1193">
        <v>42767</v>
      </c>
      <c r="B82" s="1634">
        <v>8936</v>
      </c>
      <c r="C82" s="1613">
        <v>1856</v>
      </c>
      <c r="D82" s="1613">
        <v>180</v>
      </c>
      <c r="E82" s="1613">
        <v>29</v>
      </c>
      <c r="F82" s="1613">
        <v>365</v>
      </c>
      <c r="G82" s="1613">
        <v>11366</v>
      </c>
      <c r="H82" s="1615">
        <v>1746</v>
      </c>
      <c r="I82" s="1635">
        <f t="shared" si="6"/>
        <v>0.19538943598925693</v>
      </c>
      <c r="J82" s="1464"/>
      <c r="O82" s="1253"/>
      <c r="P82" s="1253"/>
      <c r="Q82" s="1253"/>
      <c r="R82" s="1253"/>
      <c r="S82" s="1253"/>
      <c r="T82" s="1253"/>
      <c r="U82" s="1622"/>
      <c r="V82" s="1622"/>
    </row>
    <row r="83" spans="1:22" hidden="1">
      <c r="A83" s="1193">
        <v>42795</v>
      </c>
      <c r="B83" s="1634">
        <v>8955</v>
      </c>
      <c r="C83" s="1613">
        <v>1864</v>
      </c>
      <c r="D83" s="1613">
        <v>179</v>
      </c>
      <c r="E83" s="1613">
        <v>29</v>
      </c>
      <c r="F83" s="1613">
        <v>360</v>
      </c>
      <c r="G83" s="1613">
        <f>B83+C83+D83+E83+F83</f>
        <v>11387</v>
      </c>
      <c r="H83" s="1615">
        <v>1152</v>
      </c>
      <c r="I83" s="1635">
        <f t="shared" si="6"/>
        <v>0.12864321608040202</v>
      </c>
      <c r="J83" s="1464"/>
      <c r="O83" s="1253"/>
      <c r="P83" s="1253"/>
      <c r="Q83" s="1253"/>
      <c r="R83" s="1253"/>
      <c r="S83" s="1253"/>
      <c r="T83" s="1253"/>
      <c r="U83" s="1622"/>
      <c r="V83" s="1622"/>
    </row>
    <row r="84" spans="1:22" hidden="1">
      <c r="A84" s="1193">
        <v>42826</v>
      </c>
      <c r="B84" s="1634">
        <v>8993</v>
      </c>
      <c r="C84" s="1613">
        <v>1866</v>
      </c>
      <c r="D84" s="1613">
        <v>183</v>
      </c>
      <c r="E84" s="1613">
        <v>29</v>
      </c>
      <c r="F84" s="1613">
        <v>364</v>
      </c>
      <c r="G84" s="1613">
        <f>B84+C84+D84+E84+F84</f>
        <v>11435</v>
      </c>
      <c r="H84" s="1615">
        <v>1355</v>
      </c>
      <c r="I84" s="1635">
        <f t="shared" si="6"/>
        <v>0.15067274546869788</v>
      </c>
      <c r="J84" s="1464"/>
      <c r="O84" s="1253"/>
      <c r="P84" s="1253"/>
      <c r="Q84" s="1253"/>
      <c r="R84" s="1253"/>
      <c r="S84" s="1253"/>
      <c r="T84" s="1253"/>
      <c r="U84" s="1622"/>
      <c r="V84" s="1622"/>
    </row>
    <row r="85" spans="1:22" hidden="1">
      <c r="A85" s="1193">
        <v>42856</v>
      </c>
      <c r="B85" s="1634">
        <v>9013</v>
      </c>
      <c r="C85" s="1613">
        <v>1872</v>
      </c>
      <c r="D85" s="1613">
        <v>182</v>
      </c>
      <c r="E85" s="1613">
        <v>29</v>
      </c>
      <c r="F85" s="1613">
        <v>362</v>
      </c>
      <c r="G85" s="1613">
        <f>B85+C85+D85+E85+F85</f>
        <v>11458</v>
      </c>
      <c r="H85" s="1615">
        <v>502</v>
      </c>
      <c r="I85" s="1635">
        <f t="shared" si="6"/>
        <v>5.5697326084544543E-2</v>
      </c>
      <c r="J85" s="1464"/>
      <c r="O85" s="1253"/>
      <c r="P85" s="1253"/>
      <c r="Q85" s="1253"/>
      <c r="R85" s="1253"/>
      <c r="S85" s="1253"/>
      <c r="T85" s="1253"/>
      <c r="U85" s="1622"/>
      <c r="V85" s="1622"/>
    </row>
    <row r="86" spans="1:22" hidden="1">
      <c r="A86" s="1193">
        <v>42887</v>
      </c>
      <c r="B86" s="1634">
        <v>9074</v>
      </c>
      <c r="C86" s="1613">
        <v>1886</v>
      </c>
      <c r="D86" s="1613">
        <v>182</v>
      </c>
      <c r="E86" s="1613">
        <v>30</v>
      </c>
      <c r="F86" s="1613">
        <v>362</v>
      </c>
      <c r="G86" s="1613">
        <f t="shared" ref="G86:G96" si="7">B86+C86+D86+E86+F86</f>
        <v>11534</v>
      </c>
      <c r="H86" s="1636">
        <v>1461</v>
      </c>
      <c r="I86" s="1635">
        <f t="shared" si="6"/>
        <v>0.1610094776283888</v>
      </c>
      <c r="J86" s="1637"/>
      <c r="O86" s="1253"/>
      <c r="P86" s="1253"/>
      <c r="Q86" s="1253"/>
      <c r="R86" s="1253"/>
      <c r="S86" s="1253"/>
      <c r="T86" s="1253"/>
      <c r="U86" s="1622"/>
      <c r="V86" s="1622"/>
    </row>
    <row r="87" spans="1:22" hidden="1">
      <c r="A87" s="1193">
        <v>42917</v>
      </c>
      <c r="B87" s="1634">
        <v>9094</v>
      </c>
      <c r="C87" s="1613">
        <v>1887</v>
      </c>
      <c r="D87" s="1613">
        <v>181</v>
      </c>
      <c r="E87" s="1613">
        <v>32</v>
      </c>
      <c r="F87" s="1613">
        <v>366</v>
      </c>
      <c r="G87" s="1613">
        <f t="shared" si="7"/>
        <v>11560</v>
      </c>
      <c r="H87" s="1636">
        <v>2466</v>
      </c>
      <c r="I87" s="1635">
        <f t="shared" si="6"/>
        <v>0.27116780294699799</v>
      </c>
      <c r="J87" s="1637"/>
      <c r="O87" s="1253"/>
      <c r="P87" s="1253"/>
      <c r="Q87" s="1253"/>
      <c r="R87" s="1253"/>
      <c r="S87" s="1253"/>
      <c r="T87" s="1253"/>
      <c r="U87" s="1622"/>
      <c r="V87" s="1622"/>
    </row>
    <row r="88" spans="1:22" hidden="1">
      <c r="A88" s="1193">
        <v>42948</v>
      </c>
      <c r="B88" s="1634">
        <v>9124</v>
      </c>
      <c r="C88" s="1613">
        <v>1891</v>
      </c>
      <c r="D88" s="1613">
        <v>182</v>
      </c>
      <c r="E88" s="1613">
        <v>31</v>
      </c>
      <c r="F88" s="1613">
        <v>362</v>
      </c>
      <c r="G88" s="1613">
        <f t="shared" si="7"/>
        <v>11590</v>
      </c>
      <c r="H88" s="1636">
        <v>3154</v>
      </c>
      <c r="I88" s="1635">
        <f t="shared" si="6"/>
        <v>0.34568171854449803</v>
      </c>
      <c r="J88" s="1637"/>
      <c r="O88" s="1253"/>
      <c r="P88" s="1253"/>
      <c r="Q88" s="1253"/>
      <c r="R88" s="1253"/>
      <c r="S88" s="1253"/>
      <c r="T88" s="1253"/>
      <c r="U88" s="1622"/>
      <c r="V88" s="1622"/>
    </row>
    <row r="89" spans="1:22">
      <c r="A89" s="1193">
        <v>42979</v>
      </c>
      <c r="B89" s="1634">
        <v>9159</v>
      </c>
      <c r="C89" s="1613">
        <v>1893</v>
      </c>
      <c r="D89" s="1613">
        <v>182</v>
      </c>
      <c r="E89" s="1613">
        <v>42</v>
      </c>
      <c r="F89" s="1613">
        <v>369</v>
      </c>
      <c r="G89" s="1613">
        <f t="shared" si="7"/>
        <v>11645</v>
      </c>
      <c r="H89" s="1636">
        <v>3154</v>
      </c>
      <c r="I89" s="1635">
        <f t="shared" si="6"/>
        <v>0.34436073807184192</v>
      </c>
      <c r="J89" s="1637"/>
      <c r="O89" s="1253"/>
      <c r="P89" s="1253"/>
      <c r="Q89" s="1253"/>
      <c r="R89" s="1253"/>
      <c r="S89" s="1253"/>
      <c r="T89" s="1253"/>
      <c r="U89" s="1622"/>
      <c r="V89" s="1622"/>
    </row>
    <row r="90" spans="1:22">
      <c r="A90" s="1193">
        <v>43009</v>
      </c>
      <c r="B90" s="1638">
        <v>9173</v>
      </c>
      <c r="C90" s="1619">
        <v>1893</v>
      </c>
      <c r="D90" s="1619">
        <v>180</v>
      </c>
      <c r="E90" s="1619">
        <v>43</v>
      </c>
      <c r="F90" s="1619">
        <v>399</v>
      </c>
      <c r="G90" s="1613">
        <f t="shared" si="7"/>
        <v>11688</v>
      </c>
      <c r="H90" s="1639">
        <v>3494</v>
      </c>
      <c r="I90" s="1635">
        <f t="shared" si="6"/>
        <v>0.38090046876703371</v>
      </c>
      <c r="J90" s="1637"/>
      <c r="S90" s="1253"/>
      <c r="T90" s="1253"/>
      <c r="U90" s="1622"/>
      <c r="V90" s="1622"/>
    </row>
    <row r="91" spans="1:22">
      <c r="A91" s="1193">
        <v>43040</v>
      </c>
      <c r="B91" s="1634">
        <v>9208</v>
      </c>
      <c r="C91" s="1613">
        <v>1908</v>
      </c>
      <c r="D91" s="1613">
        <v>182</v>
      </c>
      <c r="E91" s="1613">
        <v>42</v>
      </c>
      <c r="F91" s="1613">
        <v>400</v>
      </c>
      <c r="G91" s="1613">
        <f t="shared" si="7"/>
        <v>11740</v>
      </c>
      <c r="H91" s="1639">
        <v>3443</v>
      </c>
      <c r="I91" s="1635">
        <f t="shared" si="6"/>
        <v>0.3739139878366638</v>
      </c>
      <c r="J91" s="1637"/>
      <c r="S91" s="1253"/>
      <c r="T91" s="1253"/>
      <c r="U91" s="1622"/>
      <c r="V91" s="1622"/>
    </row>
    <row r="92" spans="1:22">
      <c r="A92" s="1193">
        <v>43070</v>
      </c>
      <c r="B92" s="1634">
        <v>9223</v>
      </c>
      <c r="C92" s="1613">
        <v>1904</v>
      </c>
      <c r="D92" s="1613">
        <v>184</v>
      </c>
      <c r="E92" s="1613">
        <v>42</v>
      </c>
      <c r="F92" s="1613">
        <v>391</v>
      </c>
      <c r="G92" s="1613">
        <f t="shared" si="7"/>
        <v>11744</v>
      </c>
      <c r="H92" s="1639">
        <v>3407</v>
      </c>
      <c r="I92" s="1635">
        <f t="shared" si="6"/>
        <v>0.36940258050525859</v>
      </c>
      <c r="J92" s="1637"/>
      <c r="S92" s="1253"/>
      <c r="T92" s="1253"/>
      <c r="U92" s="1622"/>
      <c r="V92" s="1622"/>
    </row>
    <row r="93" spans="1:22">
      <c r="A93" s="1193">
        <v>43101</v>
      </c>
      <c r="B93" s="1634">
        <v>9269</v>
      </c>
      <c r="C93" s="1613">
        <v>1911</v>
      </c>
      <c r="D93" s="1613">
        <v>184</v>
      </c>
      <c r="E93" s="1613">
        <v>44</v>
      </c>
      <c r="F93" s="1613">
        <v>402</v>
      </c>
      <c r="G93" s="1613">
        <f t="shared" si="7"/>
        <v>11810</v>
      </c>
      <c r="H93" s="1639">
        <v>3373</v>
      </c>
      <c r="I93" s="1635">
        <f t="shared" si="6"/>
        <v>0.36390117596288707</v>
      </c>
      <c r="J93" s="1637"/>
      <c r="S93" s="1253"/>
      <c r="T93" s="1253"/>
      <c r="U93" s="1622"/>
      <c r="V93" s="1622"/>
    </row>
    <row r="94" spans="1:22">
      <c r="A94" s="1193">
        <v>43132</v>
      </c>
      <c r="B94" s="1634">
        <v>9314</v>
      </c>
      <c r="C94" s="1613">
        <v>1930</v>
      </c>
      <c r="D94" s="1613">
        <v>184</v>
      </c>
      <c r="E94" s="1613">
        <v>43</v>
      </c>
      <c r="F94" s="1613">
        <v>405</v>
      </c>
      <c r="G94" s="1613">
        <f t="shared" si="7"/>
        <v>11876</v>
      </c>
      <c r="H94" s="1639">
        <v>2290</v>
      </c>
      <c r="I94" s="1635">
        <f t="shared" si="6"/>
        <v>0.24586643762078592</v>
      </c>
      <c r="J94" s="1637"/>
      <c r="S94" s="1253"/>
      <c r="T94" s="1253"/>
      <c r="U94" s="1622"/>
      <c r="V94" s="1622"/>
    </row>
    <row r="95" spans="1:22">
      <c r="A95" s="1193">
        <v>43160</v>
      </c>
      <c r="B95" s="1634">
        <v>9357</v>
      </c>
      <c r="C95" s="1613">
        <v>1940</v>
      </c>
      <c r="D95" s="1613">
        <v>184</v>
      </c>
      <c r="E95" s="1613">
        <v>43</v>
      </c>
      <c r="F95" s="1613">
        <v>415</v>
      </c>
      <c r="G95" s="1613">
        <f t="shared" si="7"/>
        <v>11939</v>
      </c>
      <c r="H95" s="1639">
        <v>1234</v>
      </c>
      <c r="I95" s="1635">
        <f t="shared" si="6"/>
        <v>0.13187987602864165</v>
      </c>
      <c r="J95" s="1637"/>
      <c r="S95" s="1253"/>
      <c r="T95" s="1253"/>
      <c r="U95" s="1622"/>
      <c r="V95" s="1622"/>
    </row>
    <row r="96" spans="1:22">
      <c r="A96" s="1193">
        <v>43191</v>
      </c>
      <c r="B96" s="1634">
        <v>9400</v>
      </c>
      <c r="C96" s="1613">
        <v>1951</v>
      </c>
      <c r="D96" s="1613">
        <v>185</v>
      </c>
      <c r="E96" s="1613">
        <v>43</v>
      </c>
      <c r="F96" s="1613">
        <v>431</v>
      </c>
      <c r="G96" s="1613">
        <f t="shared" si="7"/>
        <v>12010</v>
      </c>
      <c r="H96" s="1639">
        <v>2083</v>
      </c>
      <c r="I96" s="1635">
        <f t="shared" si="6"/>
        <v>0.22159574468085105</v>
      </c>
      <c r="J96" s="1637"/>
      <c r="S96" s="1253"/>
      <c r="T96" s="1253"/>
      <c r="U96" s="1622"/>
      <c r="V96" s="1622"/>
    </row>
    <row r="97" spans="1:22">
      <c r="A97" s="1193">
        <v>43221</v>
      </c>
      <c r="B97" s="1634">
        <v>9439</v>
      </c>
      <c r="C97" s="1613">
        <v>1954</v>
      </c>
      <c r="D97" s="1613">
        <v>185</v>
      </c>
      <c r="E97" s="1613">
        <v>43</v>
      </c>
      <c r="F97" s="1613">
        <v>442</v>
      </c>
      <c r="G97" s="1613">
        <f t="shared" ref="G97" si="8">B97+C97+D97+E97+F97</f>
        <v>12063</v>
      </c>
      <c r="H97" s="1639">
        <v>1679</v>
      </c>
      <c r="I97" s="1635">
        <f t="shared" ref="I97:I101" si="9">+H97/B97</f>
        <v>0.17787901260726771</v>
      </c>
      <c r="J97" s="1637"/>
      <c r="S97" s="1253"/>
      <c r="T97" s="1253"/>
      <c r="U97" s="1622"/>
      <c r="V97" s="1622"/>
    </row>
    <row r="98" spans="1:22">
      <c r="A98" s="1193">
        <v>43252</v>
      </c>
      <c r="B98" s="1634">
        <v>9502</v>
      </c>
      <c r="C98" s="1613">
        <v>1963</v>
      </c>
      <c r="D98" s="1613">
        <v>185</v>
      </c>
      <c r="E98" s="1613">
        <v>43</v>
      </c>
      <c r="F98" s="1613">
        <v>448</v>
      </c>
      <c r="G98" s="1613">
        <v>12141</v>
      </c>
      <c r="H98" s="1639">
        <v>1315</v>
      </c>
      <c r="I98" s="1635">
        <f t="shared" ref="I98" si="10">+H98/B98</f>
        <v>0.13839191749105451</v>
      </c>
      <c r="J98" s="1637"/>
      <c r="S98" s="1253"/>
      <c r="T98" s="1253"/>
      <c r="U98" s="1622"/>
      <c r="V98" s="1622"/>
    </row>
    <row r="99" spans="1:22">
      <c r="A99" s="1193">
        <v>43282</v>
      </c>
      <c r="B99" s="1634">
        <v>9554</v>
      </c>
      <c r="C99" s="1613">
        <v>1976</v>
      </c>
      <c r="D99" s="1613">
        <v>186</v>
      </c>
      <c r="E99" s="1613">
        <v>43</v>
      </c>
      <c r="F99" s="1613">
        <v>457</v>
      </c>
      <c r="G99" s="1613">
        <v>12216</v>
      </c>
      <c r="H99" s="1639">
        <v>3114</v>
      </c>
      <c r="I99" s="1635">
        <f t="shared" si="9"/>
        <v>0.32593678040611263</v>
      </c>
      <c r="J99" s="1637"/>
      <c r="S99" s="1253"/>
      <c r="T99" s="1253"/>
      <c r="U99" s="1622"/>
      <c r="V99" s="1622"/>
    </row>
    <row r="100" spans="1:22">
      <c r="A100" s="1193">
        <v>43313</v>
      </c>
      <c r="B100" s="1634">
        <v>9589</v>
      </c>
      <c r="C100" s="1613">
        <v>1989</v>
      </c>
      <c r="D100" s="1613">
        <v>185</v>
      </c>
      <c r="E100" s="1613">
        <v>43</v>
      </c>
      <c r="F100" s="1613">
        <v>465</v>
      </c>
      <c r="G100" s="1613">
        <v>12271</v>
      </c>
      <c r="H100" s="1639">
        <v>3495</v>
      </c>
      <c r="I100" s="1635">
        <f t="shared" si="9"/>
        <v>0.36448013348628638</v>
      </c>
      <c r="J100" s="1637"/>
      <c r="S100" s="1253"/>
      <c r="T100" s="1253"/>
      <c r="U100" s="1622"/>
      <c r="V100" s="1622"/>
    </row>
    <row r="101" spans="1:22" ht="15" thickBot="1">
      <c r="A101" s="1193">
        <v>43344</v>
      </c>
      <c r="B101" s="1634">
        <v>9629</v>
      </c>
      <c r="C101" s="1613">
        <v>1998</v>
      </c>
      <c r="D101" s="1613">
        <v>185</v>
      </c>
      <c r="E101" s="1613">
        <v>43</v>
      </c>
      <c r="F101" s="1613">
        <v>481</v>
      </c>
      <c r="G101" s="1613">
        <v>12336</v>
      </c>
      <c r="H101" s="1639">
        <v>2619</v>
      </c>
      <c r="I101" s="1635">
        <f t="shared" si="9"/>
        <v>0.27199086094090769</v>
      </c>
      <c r="J101" s="1637"/>
      <c r="S101" s="1253"/>
      <c r="T101" s="1253"/>
      <c r="U101" s="1622"/>
      <c r="V101" s="1622"/>
    </row>
    <row r="102" spans="1:22" ht="15.75" thickBot="1">
      <c r="A102" s="1640" t="s">
        <v>386</v>
      </c>
      <c r="B102" s="1641">
        <f>+B101/B99-1</f>
        <v>7.8501151350218734E-3</v>
      </c>
      <c r="C102" s="1641">
        <f t="shared" ref="C102:I102" si="11">+C101/C99-1</f>
        <v>1.1133603238866474E-2</v>
      </c>
      <c r="D102" s="1641">
        <f t="shared" si="11"/>
        <v>-5.3763440860215006E-3</v>
      </c>
      <c r="E102" s="1641">
        <f t="shared" si="11"/>
        <v>0</v>
      </c>
      <c r="F102" s="1641">
        <f t="shared" si="11"/>
        <v>5.2516411378555894E-2</v>
      </c>
      <c r="G102" s="1641">
        <f t="shared" si="11"/>
        <v>9.8231827111985304E-3</v>
      </c>
      <c r="H102" s="1641">
        <f t="shared" si="11"/>
        <v>-0.15895953757225434</v>
      </c>
      <c r="I102" s="1641">
        <f t="shared" si="11"/>
        <v>-0.1655103771902916</v>
      </c>
      <c r="J102" s="1464"/>
      <c r="L102" s="1642"/>
      <c r="M102" s="1642"/>
      <c r="N102" s="1642"/>
      <c r="O102" s="1643"/>
      <c r="P102" s="1643"/>
      <c r="Q102" s="1643"/>
      <c r="R102" s="1643"/>
    </row>
    <row r="103" spans="1:22" ht="15">
      <c r="A103" s="833"/>
      <c r="B103" s="833"/>
      <c r="C103" s="833"/>
      <c r="D103" s="833"/>
      <c r="E103" s="833"/>
      <c r="F103" s="833"/>
      <c r="G103" s="833"/>
      <c r="H103" s="833"/>
      <c r="K103" s="1642"/>
      <c r="S103" s="1643"/>
    </row>
    <row r="104" spans="1:22" s="1643" customFormat="1" ht="15">
      <c r="C104" s="1642"/>
      <c r="D104" s="1642"/>
      <c r="F104" s="1642"/>
      <c r="G104" s="1644"/>
      <c r="H104" s="1642"/>
      <c r="I104" s="1645"/>
      <c r="J104" s="1642"/>
      <c r="K104" s="833"/>
      <c r="L104" s="833"/>
      <c r="M104" s="833"/>
      <c r="N104" s="833"/>
      <c r="O104" s="1457"/>
      <c r="P104" s="1457"/>
      <c r="Q104" s="1457"/>
      <c r="R104" s="1457"/>
      <c r="S104" s="1457"/>
    </row>
    <row r="105" spans="1:22">
      <c r="A105" s="833"/>
      <c r="B105" s="833"/>
      <c r="C105" s="833"/>
      <c r="D105" s="833"/>
      <c r="E105" s="833"/>
      <c r="F105" s="833"/>
      <c r="G105" s="1646"/>
      <c r="H105" s="833"/>
    </row>
    <row r="106" spans="1:22">
      <c r="A106" s="833"/>
      <c r="B106" s="833"/>
      <c r="C106" s="833"/>
      <c r="D106" s="833"/>
      <c r="E106" s="833"/>
      <c r="F106" s="833"/>
      <c r="G106" s="833"/>
      <c r="H106" s="833"/>
    </row>
    <row r="107" spans="1:22">
      <c r="A107" s="833"/>
      <c r="B107" s="833"/>
      <c r="C107" s="833"/>
      <c r="D107" s="833"/>
      <c r="E107" s="833"/>
      <c r="F107" s="833"/>
      <c r="G107" s="833"/>
      <c r="H107" s="833"/>
    </row>
    <row r="108" spans="1:22">
      <c r="A108" s="833"/>
      <c r="B108" s="833"/>
      <c r="C108" s="833"/>
      <c r="D108" s="833"/>
      <c r="E108" s="833"/>
      <c r="F108" s="833"/>
      <c r="G108" s="833"/>
      <c r="H108" s="833"/>
    </row>
    <row r="109" spans="1:22">
      <c r="A109" s="833"/>
      <c r="B109" s="833"/>
      <c r="C109" s="833"/>
      <c r="D109" s="833"/>
      <c r="E109" s="833"/>
      <c r="F109" s="833"/>
      <c r="G109" s="833"/>
      <c r="H109" s="833"/>
    </row>
    <row r="110" spans="1:22">
      <c r="A110" s="833"/>
      <c r="B110" s="833"/>
      <c r="C110" s="833"/>
      <c r="D110" s="833"/>
      <c r="E110" s="833"/>
      <c r="F110" s="833"/>
      <c r="G110" s="833"/>
      <c r="H110" s="833"/>
    </row>
    <row r="111" spans="1:22">
      <c r="A111" s="833"/>
      <c r="B111" s="833"/>
      <c r="C111" s="833"/>
      <c r="D111" s="833"/>
      <c r="E111" s="833"/>
      <c r="F111" s="833"/>
      <c r="G111" s="833"/>
      <c r="H111" s="833"/>
    </row>
    <row r="112" spans="1:22">
      <c r="A112" s="833"/>
      <c r="B112" s="833"/>
      <c r="C112" s="833"/>
      <c r="D112" s="833"/>
      <c r="E112" s="833"/>
      <c r="F112" s="833"/>
      <c r="G112" s="833"/>
      <c r="H112" s="833"/>
    </row>
    <row r="113" spans="1:8">
      <c r="A113" s="833"/>
      <c r="B113" s="833"/>
      <c r="C113" s="833"/>
      <c r="D113" s="833"/>
      <c r="E113" s="833"/>
      <c r="F113" s="833"/>
      <c r="G113" s="833"/>
      <c r="H113" s="833"/>
    </row>
    <row r="114" spans="1:8">
      <c r="A114" s="833"/>
      <c r="B114" s="833"/>
      <c r="C114" s="833"/>
      <c r="D114" s="833"/>
      <c r="E114" s="833"/>
      <c r="F114" s="833"/>
      <c r="G114" s="833"/>
      <c r="H114" s="833"/>
    </row>
    <row r="115" spans="1:8">
      <c r="A115" s="833"/>
      <c r="B115" s="833"/>
      <c r="C115" s="833"/>
      <c r="D115" s="833"/>
      <c r="E115" s="833"/>
      <c r="F115" s="833"/>
      <c r="G115" s="833"/>
      <c r="H115" s="833"/>
    </row>
    <row r="116" spans="1:8">
      <c r="A116" s="833"/>
      <c r="B116" s="833"/>
      <c r="C116" s="833"/>
      <c r="D116" s="833"/>
      <c r="E116" s="833"/>
      <c r="F116" s="833"/>
      <c r="G116" s="833"/>
      <c r="H116" s="833"/>
    </row>
    <row r="117" spans="1:8">
      <c r="A117" s="833"/>
      <c r="B117" s="833"/>
      <c r="C117" s="833"/>
      <c r="D117" s="833"/>
      <c r="E117" s="833"/>
      <c r="F117" s="833"/>
      <c r="G117" s="833"/>
      <c r="H117" s="833"/>
    </row>
    <row r="118" spans="1:8">
      <c r="A118" s="833"/>
      <c r="B118" s="833"/>
      <c r="C118" s="833"/>
      <c r="D118" s="833"/>
      <c r="E118" s="833"/>
      <c r="F118" s="833"/>
      <c r="G118" s="833"/>
      <c r="H118" s="833"/>
    </row>
    <row r="119" spans="1:8">
      <c r="A119" s="833"/>
      <c r="B119" s="833"/>
      <c r="C119" s="833"/>
      <c r="D119" s="833"/>
      <c r="E119" s="833"/>
      <c r="F119" s="833"/>
      <c r="G119" s="833"/>
      <c r="H119" s="833"/>
    </row>
    <row r="120" spans="1:8">
      <c r="A120" s="833"/>
      <c r="B120" s="833"/>
      <c r="C120" s="833"/>
      <c r="D120" s="833"/>
      <c r="E120" s="833"/>
      <c r="F120" s="833"/>
      <c r="G120" s="833"/>
      <c r="H120" s="833"/>
    </row>
    <row r="121" spans="1:8">
      <c r="A121" s="833"/>
      <c r="B121" s="833"/>
      <c r="C121" s="833"/>
      <c r="D121" s="833"/>
      <c r="E121" s="833"/>
      <c r="F121" s="833"/>
      <c r="G121" s="833"/>
      <c r="H121" s="833"/>
    </row>
    <row r="122" spans="1:8">
      <c r="A122" s="833"/>
      <c r="B122" s="833"/>
      <c r="C122" s="833"/>
      <c r="D122" s="833"/>
      <c r="E122" s="833"/>
      <c r="F122" s="833"/>
      <c r="G122" s="833"/>
      <c r="H122" s="833"/>
    </row>
    <row r="123" spans="1:8" ht="28.5" customHeight="1">
      <c r="A123" s="833"/>
      <c r="B123" s="833"/>
      <c r="C123" s="833"/>
      <c r="D123" s="833"/>
      <c r="E123" s="833"/>
      <c r="F123" s="833"/>
      <c r="G123" s="833"/>
      <c r="H123" s="833"/>
    </row>
    <row r="124" spans="1:8">
      <c r="A124" s="1604"/>
      <c r="B124" s="833"/>
      <c r="C124" s="833"/>
      <c r="D124" s="833"/>
      <c r="E124" s="833"/>
      <c r="F124" s="833"/>
      <c r="G124" s="833"/>
      <c r="H124" s="833"/>
    </row>
    <row r="125" spans="1:8">
      <c r="A125" s="833"/>
      <c r="B125" s="833"/>
      <c r="C125" s="833"/>
      <c r="D125" s="833"/>
      <c r="E125" s="833"/>
      <c r="F125" s="833"/>
      <c r="G125" s="833"/>
      <c r="H125" s="833"/>
    </row>
    <row r="126" spans="1:8">
      <c r="A126" s="833"/>
      <c r="B126" s="833"/>
      <c r="C126" s="833"/>
      <c r="D126" s="833"/>
      <c r="E126" s="833"/>
      <c r="F126" s="833"/>
      <c r="G126" s="833"/>
      <c r="H126" s="833"/>
    </row>
    <row r="127" spans="1:8">
      <c r="A127" s="833"/>
      <c r="B127" s="833"/>
      <c r="C127" s="833"/>
      <c r="D127" s="833"/>
      <c r="E127" s="833"/>
      <c r="F127" s="833"/>
      <c r="G127" s="833"/>
      <c r="H127" s="833"/>
    </row>
    <row r="128" spans="1:8">
      <c r="A128" s="833"/>
      <c r="B128" s="833"/>
      <c r="C128" s="833"/>
      <c r="D128" s="833"/>
      <c r="E128" s="833"/>
      <c r="F128" s="833"/>
      <c r="G128" s="833"/>
      <c r="H128" s="833"/>
    </row>
    <row r="129" spans="1:8">
      <c r="A129" s="833"/>
      <c r="B129" s="833"/>
      <c r="C129" s="833"/>
      <c r="D129" s="833"/>
      <c r="E129" s="833"/>
      <c r="F129" s="833"/>
      <c r="G129" s="833"/>
      <c r="H129" s="833"/>
    </row>
    <row r="425" spans="1:9">
      <c r="A425" s="1602"/>
      <c r="B425" s="1603"/>
      <c r="C425" s="1603"/>
      <c r="D425" s="1603"/>
      <c r="E425" s="1603"/>
      <c r="F425" s="1603"/>
      <c r="G425" s="1603"/>
      <c r="H425" s="1603"/>
      <c r="I425" s="1603"/>
    </row>
    <row r="426" spans="1:9">
      <c r="A426" s="1604"/>
      <c r="B426" s="833"/>
      <c r="C426" s="833"/>
      <c r="D426" s="833"/>
      <c r="E426" s="833"/>
      <c r="F426" s="833"/>
      <c r="G426" s="833"/>
      <c r="H426" s="833"/>
    </row>
    <row r="427" spans="1:9">
      <c r="A427" s="1604"/>
      <c r="B427" s="833"/>
      <c r="C427" s="833"/>
      <c r="D427" s="833"/>
      <c r="E427" s="833"/>
      <c r="F427" s="833"/>
      <c r="G427" s="833"/>
      <c r="H427" s="833"/>
    </row>
    <row r="428" spans="1:9">
      <c r="A428" s="1604"/>
      <c r="B428" s="833"/>
      <c r="C428" s="833"/>
      <c r="D428" s="833"/>
      <c r="E428" s="833"/>
      <c r="F428" s="833"/>
      <c r="G428" s="833"/>
      <c r="H428" s="833"/>
    </row>
    <row r="429" spans="1:9">
      <c r="A429" s="1604"/>
      <c r="B429" s="833"/>
      <c r="C429" s="833"/>
      <c r="D429" s="833"/>
      <c r="E429" s="833"/>
      <c r="F429" s="833"/>
      <c r="G429" s="833"/>
      <c r="H429" s="833"/>
    </row>
    <row r="430" spans="1:9">
      <c r="A430" s="1604"/>
      <c r="B430" s="833"/>
      <c r="C430" s="833"/>
      <c r="D430" s="833"/>
      <c r="E430" s="833"/>
      <c r="F430" s="833"/>
      <c r="G430" s="833"/>
      <c r="H430" s="833"/>
    </row>
    <row r="431" spans="1:9">
      <c r="A431" s="1604"/>
      <c r="B431" s="833"/>
      <c r="C431" s="833"/>
      <c r="D431" s="833"/>
      <c r="E431" s="833"/>
      <c r="F431" s="833"/>
      <c r="G431" s="833"/>
      <c r="H431" s="833"/>
    </row>
    <row r="432" spans="1:9">
      <c r="A432" s="1604"/>
      <c r="B432" s="833"/>
      <c r="C432" s="833"/>
      <c r="D432" s="833"/>
      <c r="E432" s="833"/>
      <c r="F432" s="833"/>
      <c r="G432" s="833"/>
      <c r="H432" s="833"/>
    </row>
    <row r="433" spans="1:9">
      <c r="A433" s="1604"/>
      <c r="B433" s="833"/>
      <c r="C433" s="833"/>
      <c r="D433" s="833"/>
      <c r="E433" s="833"/>
      <c r="F433" s="833"/>
      <c r="G433" s="833"/>
      <c r="H433" s="833"/>
    </row>
    <row r="434" spans="1:9">
      <c r="A434" s="1604"/>
      <c r="B434" s="833"/>
      <c r="C434" s="833"/>
      <c r="D434" s="833"/>
      <c r="E434" s="833"/>
      <c r="F434" s="833"/>
      <c r="G434" s="833"/>
      <c r="H434" s="833"/>
    </row>
    <row r="435" spans="1:9">
      <c r="A435" s="1604"/>
      <c r="B435" s="833"/>
      <c r="C435" s="833"/>
      <c r="D435" s="833"/>
      <c r="E435" s="833"/>
      <c r="F435" s="833"/>
      <c r="G435" s="833"/>
      <c r="H435" s="833"/>
    </row>
    <row r="436" spans="1:9">
      <c r="A436" s="1604"/>
      <c r="B436" s="833"/>
      <c r="C436" s="833"/>
      <c r="D436" s="833"/>
      <c r="E436" s="833"/>
      <c r="F436" s="833"/>
      <c r="G436" s="833"/>
      <c r="H436" s="833"/>
    </row>
    <row r="437" spans="1:9">
      <c r="A437" s="1604"/>
      <c r="B437" s="833"/>
      <c r="C437" s="833"/>
      <c r="D437" s="833"/>
      <c r="E437" s="833"/>
      <c r="F437" s="833"/>
      <c r="G437" s="833"/>
      <c r="H437" s="833"/>
    </row>
    <row r="438" spans="1:9">
      <c r="A438" s="1604"/>
      <c r="B438" s="833"/>
      <c r="C438" s="833"/>
      <c r="D438" s="833"/>
      <c r="E438" s="833"/>
      <c r="F438" s="833"/>
      <c r="G438" s="833"/>
      <c r="H438" s="833"/>
    </row>
    <row r="439" spans="1:9">
      <c r="A439" s="1604"/>
      <c r="B439" s="833"/>
      <c r="C439" s="833"/>
      <c r="D439" s="833"/>
      <c r="E439" s="833"/>
      <c r="F439" s="833"/>
      <c r="G439" s="833"/>
      <c r="H439" s="833"/>
    </row>
    <row r="440" spans="1:9">
      <c r="A440" s="1604"/>
      <c r="B440" s="833"/>
      <c r="C440" s="833"/>
      <c r="D440" s="833"/>
      <c r="E440" s="833"/>
      <c r="F440" s="833"/>
      <c r="G440" s="833"/>
      <c r="H440" s="833"/>
    </row>
    <row r="441" spans="1:9">
      <c r="A441" s="1604"/>
      <c r="B441" s="833"/>
      <c r="C441" s="833"/>
      <c r="D441" s="833"/>
      <c r="E441" s="833"/>
      <c r="F441" s="833"/>
      <c r="G441" s="833"/>
      <c r="H441" s="833"/>
    </row>
    <row r="442" spans="1:9">
      <c r="A442" s="1604"/>
      <c r="B442" s="833"/>
      <c r="C442" s="833"/>
      <c r="D442" s="833"/>
      <c r="E442" s="833"/>
      <c r="F442" s="833"/>
      <c r="G442" s="833"/>
      <c r="H442" s="833"/>
    </row>
    <row r="443" spans="1:9">
      <c r="A443" s="1604"/>
      <c r="B443" s="833"/>
      <c r="C443" s="833"/>
      <c r="D443" s="833"/>
      <c r="E443" s="833"/>
      <c r="F443" s="833"/>
      <c r="G443" s="833"/>
      <c r="H443" s="833"/>
    </row>
    <row r="444" spans="1:9">
      <c r="A444" s="1604"/>
      <c r="B444" s="833"/>
      <c r="C444" s="833"/>
      <c r="D444" s="833"/>
      <c r="E444" s="833"/>
      <c r="F444" s="833"/>
      <c r="G444" s="833"/>
      <c r="H444" s="833"/>
    </row>
    <row r="445" spans="1:9">
      <c r="A445" s="1605"/>
      <c r="B445" s="1606"/>
      <c r="C445" s="1606"/>
      <c r="D445" s="1606"/>
      <c r="E445" s="1606"/>
      <c r="F445" s="1606"/>
      <c r="G445" s="1606"/>
      <c r="H445" s="1606"/>
      <c r="I445" s="1606"/>
    </row>
  </sheetData>
  <mergeCells count="15">
    <mergeCell ref="A1:I1"/>
    <mergeCell ref="C8:I8"/>
    <mergeCell ref="A10:A11"/>
    <mergeCell ref="B10:B11"/>
    <mergeCell ref="C10:C11"/>
    <mergeCell ref="D10:D11"/>
    <mergeCell ref="E10:E11"/>
    <mergeCell ref="F10:F11"/>
    <mergeCell ref="G10:G11"/>
    <mergeCell ref="C2:H2"/>
    <mergeCell ref="C3:I3"/>
    <mergeCell ref="C4:I4"/>
    <mergeCell ref="C5:I5"/>
    <mergeCell ref="C6:I6"/>
    <mergeCell ref="C7:I7"/>
  </mergeCells>
  <printOptions horizontalCentered="1" verticalCentered="1"/>
  <pageMargins left="0.19685039370078741" right="0.19685039370078741" top="0.59055118110236227" bottom="0.39370078740157483" header="0.31496062992125984" footer="0.31496062992125984"/>
  <pageSetup paperSize="9" scale="105" orientation="portrait" r:id="rId1"/>
  <ignoredErrors>
    <ignoredError sqref="G46:G57 G58:I63 G67 G64:G65 G66 G68:G69 G70:G79"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0">
    <tabColor theme="4" tint="-0.499984740745262"/>
  </sheetPr>
  <dimension ref="A1:BF1923"/>
  <sheetViews>
    <sheetView showGridLines="0" view="pageBreakPreview" topLeftCell="A72" zoomScaleNormal="85" zoomScaleSheetLayoutView="100" workbookViewId="0">
      <selection activeCell="K88" sqref="K88:L88"/>
    </sheetView>
  </sheetViews>
  <sheetFormatPr baseColWidth="10" defaultColWidth="12" defaultRowHeight="30" customHeight="1"/>
  <cols>
    <col min="1" max="1" width="9.83203125" style="6" customWidth="1"/>
    <col min="2" max="2" width="9" style="6" customWidth="1"/>
    <col min="3" max="3" width="12.6640625" style="6" customWidth="1"/>
    <col min="4" max="5" width="9" style="6" customWidth="1"/>
    <col min="6" max="6" width="8.5" style="6" customWidth="1"/>
    <col min="7" max="7" width="8" style="6" customWidth="1"/>
    <col min="8" max="8" width="8.1640625" style="6" customWidth="1"/>
    <col min="9" max="9" width="8" style="8" customWidth="1"/>
    <col min="10" max="11" width="8" style="6" customWidth="1"/>
    <col min="12" max="13" width="8.6640625" style="6" customWidth="1"/>
    <col min="14" max="15" width="9" style="6" customWidth="1"/>
    <col min="16" max="18" width="7.83203125" style="6" customWidth="1"/>
    <col min="19" max="19" width="12.6640625" style="6" bestFit="1" customWidth="1"/>
    <col min="20" max="16384" width="12" style="6"/>
  </cols>
  <sheetData>
    <row r="1" spans="1:38" ht="24" customHeight="1" thickTop="1" thickBot="1">
      <c r="A1" s="3352" t="s">
        <v>7</v>
      </c>
      <c r="B1" s="3353"/>
      <c r="C1" s="3353"/>
      <c r="D1" s="3353"/>
      <c r="E1" s="3353"/>
      <c r="F1" s="3353"/>
      <c r="G1" s="3353"/>
      <c r="H1" s="3353"/>
      <c r="I1" s="3353"/>
      <c r="J1" s="3353"/>
      <c r="K1" s="3353"/>
      <c r="L1" s="3353"/>
      <c r="M1" s="3353"/>
      <c r="N1" s="3353"/>
      <c r="O1" s="3354"/>
    </row>
    <row r="2" spans="1:38" s="7" customFormat="1" ht="25.5" customHeight="1">
      <c r="A2" s="3316" t="s">
        <v>58</v>
      </c>
      <c r="B2" s="3317"/>
      <c r="C2" s="3318"/>
      <c r="D2" s="3355" t="s">
        <v>119</v>
      </c>
      <c r="E2" s="3356"/>
      <c r="F2" s="3356"/>
      <c r="G2" s="3356"/>
      <c r="H2" s="3356"/>
      <c r="I2" s="3357"/>
      <c r="J2" s="3356"/>
      <c r="K2" s="3356"/>
      <c r="L2" s="3356"/>
      <c r="M2" s="3356"/>
      <c r="N2" s="3358" t="s">
        <v>314</v>
      </c>
      <c r="O2" s="3359"/>
    </row>
    <row r="3" spans="1:38" s="7" customFormat="1" ht="28.5" customHeight="1">
      <c r="A3" s="3345" t="s">
        <v>59</v>
      </c>
      <c r="B3" s="3154"/>
      <c r="C3" s="3160"/>
      <c r="D3" s="3349" t="s">
        <v>120</v>
      </c>
      <c r="E3" s="3347"/>
      <c r="F3" s="3347"/>
      <c r="G3" s="3347"/>
      <c r="H3" s="3347"/>
      <c r="I3" s="3347"/>
      <c r="J3" s="3347"/>
      <c r="K3" s="3347"/>
      <c r="L3" s="3347"/>
      <c r="M3" s="3347"/>
      <c r="N3" s="3347"/>
      <c r="O3" s="3348"/>
    </row>
    <row r="4" spans="1:38" s="7" customFormat="1" ht="24.75" customHeight="1">
      <c r="A4" s="3345" t="s">
        <v>8</v>
      </c>
      <c r="B4" s="3154"/>
      <c r="C4" s="3160"/>
      <c r="D4" s="3349" t="s">
        <v>121</v>
      </c>
      <c r="E4" s="3347"/>
      <c r="F4" s="3347"/>
      <c r="G4" s="3347"/>
      <c r="H4" s="3347"/>
      <c r="I4" s="3347"/>
      <c r="J4" s="3347"/>
      <c r="K4" s="3347"/>
      <c r="L4" s="3347"/>
      <c r="M4" s="3347"/>
      <c r="N4" s="3347"/>
      <c r="O4" s="3348"/>
    </row>
    <row r="5" spans="1:38" s="7" customFormat="1" ht="26.25" customHeight="1">
      <c r="A5" s="3345" t="s">
        <v>61</v>
      </c>
      <c r="B5" s="3154"/>
      <c r="C5" s="3160"/>
      <c r="D5" s="3349" t="s">
        <v>122</v>
      </c>
      <c r="E5" s="3347"/>
      <c r="F5" s="3347"/>
      <c r="G5" s="3347"/>
      <c r="H5" s="3347"/>
      <c r="I5" s="3347"/>
      <c r="J5" s="3347"/>
      <c r="K5" s="3347"/>
      <c r="L5" s="3347"/>
      <c r="M5" s="3347"/>
      <c r="N5" s="3347"/>
      <c r="O5" s="3348"/>
    </row>
    <row r="6" spans="1:38" s="7" customFormat="1" ht="26.25" customHeight="1">
      <c r="A6" s="3345" t="s">
        <v>62</v>
      </c>
      <c r="B6" s="3154"/>
      <c r="C6" s="3160"/>
      <c r="D6" s="3349" t="s">
        <v>123</v>
      </c>
      <c r="E6" s="3347"/>
      <c r="F6" s="3347"/>
      <c r="G6" s="3347"/>
      <c r="H6" s="3347"/>
      <c r="I6" s="3347"/>
      <c r="J6" s="3347"/>
      <c r="K6" s="3347"/>
      <c r="L6" s="3347"/>
      <c r="M6" s="3347"/>
      <c r="N6" s="3347"/>
      <c r="O6" s="3348"/>
    </row>
    <row r="7" spans="1:38" s="7" customFormat="1" ht="60" customHeight="1">
      <c r="A7" s="3345" t="s">
        <v>63</v>
      </c>
      <c r="B7" s="3154"/>
      <c r="C7" s="3160"/>
      <c r="D7" s="3350" t="s">
        <v>189</v>
      </c>
      <c r="E7" s="3347"/>
      <c r="F7" s="3347"/>
      <c r="G7" s="3347"/>
      <c r="H7" s="3347"/>
      <c r="I7" s="3347"/>
      <c r="J7" s="3347"/>
      <c r="K7" s="3347"/>
      <c r="L7" s="3347"/>
      <c r="M7" s="3347"/>
      <c r="N7" s="3347"/>
      <c r="O7" s="3348"/>
      <c r="AL7" s="36"/>
    </row>
    <row r="8" spans="1:38" s="7" customFormat="1" ht="24" customHeight="1">
      <c r="A8" s="3345" t="s">
        <v>65</v>
      </c>
      <c r="B8" s="3154"/>
      <c r="C8" s="3160"/>
      <c r="D8" s="3349" t="s">
        <v>12</v>
      </c>
      <c r="E8" s="3347"/>
      <c r="F8" s="3347"/>
      <c r="G8" s="3347"/>
      <c r="H8" s="3347"/>
      <c r="I8" s="3347"/>
      <c r="J8" s="3347"/>
      <c r="K8" s="3347"/>
      <c r="L8" s="3347"/>
      <c r="M8" s="3347"/>
      <c r="N8" s="3347"/>
      <c r="O8" s="3348"/>
    </row>
    <row r="9" spans="1:38" s="7" customFormat="1" ht="24" customHeight="1">
      <c r="A9" s="3345" t="s">
        <v>9</v>
      </c>
      <c r="B9" s="3154"/>
      <c r="C9" s="3160"/>
      <c r="D9" s="3349" t="s">
        <v>225</v>
      </c>
      <c r="E9" s="3347"/>
      <c r="F9" s="3347"/>
      <c r="G9" s="3347"/>
      <c r="H9" s="3347"/>
      <c r="I9" s="3347"/>
      <c r="J9" s="3347"/>
      <c r="K9" s="3347"/>
      <c r="L9" s="3347"/>
      <c r="M9" s="3347"/>
      <c r="N9" s="3347"/>
      <c r="O9" s="3348"/>
    </row>
    <row r="10" spans="1:38" s="9" customFormat="1" ht="36" customHeight="1">
      <c r="A10" s="3345" t="s">
        <v>66</v>
      </c>
      <c r="B10" s="3154"/>
      <c r="C10" s="3160"/>
      <c r="D10" s="3346" t="s">
        <v>199</v>
      </c>
      <c r="E10" s="3347"/>
      <c r="F10" s="3347"/>
      <c r="G10" s="3347"/>
      <c r="H10" s="3347"/>
      <c r="I10" s="3347"/>
      <c r="J10" s="3347"/>
      <c r="K10" s="3347"/>
      <c r="L10" s="3347"/>
      <c r="M10" s="3347"/>
      <c r="N10" s="3347"/>
      <c r="O10" s="3348"/>
    </row>
    <row r="11" spans="1:38" s="7" customFormat="1" ht="24" customHeight="1">
      <c r="A11" s="3345" t="s">
        <v>67</v>
      </c>
      <c r="B11" s="3154"/>
      <c r="C11" s="3154"/>
      <c r="D11" s="3349" t="s">
        <v>124</v>
      </c>
      <c r="E11" s="3350"/>
      <c r="F11" s="3350"/>
      <c r="G11" s="3350"/>
      <c r="H11" s="3350"/>
      <c r="I11" s="3350"/>
      <c r="J11" s="3350"/>
      <c r="K11" s="3350"/>
      <c r="L11" s="3350"/>
      <c r="M11" s="3350"/>
      <c r="N11" s="3350"/>
      <c r="O11" s="3351"/>
    </row>
    <row r="12" spans="1:38" s="7" customFormat="1" ht="24" customHeight="1" thickBot="1">
      <c r="A12" s="3322" t="s">
        <v>68</v>
      </c>
      <c r="B12" s="3149"/>
      <c r="C12" s="3149"/>
      <c r="D12" s="3323" t="s">
        <v>125</v>
      </c>
      <c r="E12" s="3324"/>
      <c r="F12" s="3324"/>
      <c r="G12" s="3324"/>
      <c r="H12" s="3324"/>
      <c r="I12" s="3324"/>
      <c r="J12" s="3324"/>
      <c r="K12" s="3324"/>
      <c r="L12" s="3324"/>
      <c r="M12" s="3324"/>
      <c r="N12" s="3324"/>
      <c r="O12" s="3325"/>
    </row>
    <row r="13" spans="1:38" s="8" customFormat="1" ht="12" customHeight="1" thickBot="1">
      <c r="A13" s="152"/>
      <c r="B13" s="153"/>
      <c r="C13" s="153"/>
      <c r="D13" s="153"/>
      <c r="E13" s="153"/>
      <c r="O13" s="136"/>
    </row>
    <row r="14" spans="1:38" ht="14.25" customHeight="1" thickBot="1">
      <c r="A14" s="3331" t="s">
        <v>69</v>
      </c>
      <c r="B14" s="3332"/>
      <c r="C14" s="3332"/>
      <c r="D14" s="3332"/>
      <c r="E14" s="3333"/>
      <c r="F14" s="8"/>
      <c r="G14" s="8"/>
      <c r="H14" s="8"/>
      <c r="J14" s="8"/>
      <c r="K14" s="8"/>
      <c r="L14" s="8"/>
      <c r="M14" s="8"/>
      <c r="N14" s="8"/>
      <c r="O14" s="136"/>
    </row>
    <row r="15" spans="1:38" ht="12" customHeight="1">
      <c r="A15" s="3209" t="s">
        <v>70</v>
      </c>
      <c r="B15" s="3335" t="s">
        <v>111</v>
      </c>
      <c r="C15" s="3337" t="s">
        <v>777</v>
      </c>
      <c r="D15" s="3338"/>
      <c r="E15" s="3172" t="s">
        <v>831</v>
      </c>
      <c r="F15" s="8"/>
      <c r="G15" s="8"/>
      <c r="H15" s="8"/>
      <c r="J15" s="8"/>
      <c r="K15" s="8"/>
      <c r="L15" s="8"/>
      <c r="M15" s="8"/>
      <c r="N15" s="8"/>
      <c r="O15" s="136"/>
    </row>
    <row r="16" spans="1:38" ht="12" customHeight="1">
      <c r="A16" s="3334"/>
      <c r="B16" s="3336"/>
      <c r="C16" s="3341" t="s">
        <v>126</v>
      </c>
      <c r="D16" s="3343" t="s">
        <v>112</v>
      </c>
      <c r="E16" s="3339"/>
      <c r="F16" s="8"/>
      <c r="G16" s="8"/>
      <c r="H16" s="8"/>
      <c r="J16" s="8"/>
      <c r="K16" s="8"/>
      <c r="L16" s="8"/>
      <c r="M16" s="8"/>
      <c r="N16" s="8"/>
      <c r="O16" s="136"/>
    </row>
    <row r="17" spans="1:19" ht="12" customHeight="1" thickBot="1">
      <c r="A17" s="3210"/>
      <c r="B17" s="3212"/>
      <c r="C17" s="3342"/>
      <c r="D17" s="3344"/>
      <c r="E17" s="3340"/>
      <c r="F17" s="8"/>
      <c r="G17" s="8"/>
      <c r="H17" s="8"/>
      <c r="J17" s="8"/>
      <c r="K17" s="8"/>
      <c r="L17" s="8"/>
      <c r="M17" s="8"/>
      <c r="N17" s="8"/>
      <c r="O17" s="136"/>
    </row>
    <row r="18" spans="1:19" ht="17.25" hidden="1" customHeight="1">
      <c r="A18" s="427">
        <v>41640</v>
      </c>
      <c r="B18" s="250">
        <v>82.651785714285708</v>
      </c>
      <c r="C18" s="251">
        <f>D110</f>
        <v>90.689075630252105</v>
      </c>
      <c r="D18" s="252">
        <f t="shared" ref="D18:D28" si="0">+C18/B18</f>
        <v>1.0972427860633289</v>
      </c>
      <c r="E18" s="253">
        <v>82.651785714285708</v>
      </c>
      <c r="F18" s="8"/>
      <c r="G18" s="8"/>
      <c r="H18" s="8"/>
      <c r="J18" s="8"/>
      <c r="K18" s="8"/>
      <c r="L18" s="8"/>
      <c r="M18" s="8"/>
      <c r="N18" s="8"/>
      <c r="O18" s="136"/>
      <c r="Q18" s="10"/>
      <c r="R18" s="12"/>
      <c r="S18" s="13"/>
    </row>
    <row r="19" spans="1:19" ht="17.25" hidden="1" customHeight="1">
      <c r="A19" s="428">
        <v>41671</v>
      </c>
      <c r="B19" s="118">
        <v>80.017241379310349</v>
      </c>
      <c r="C19" s="119">
        <f>E110</f>
        <v>92.538461538461533</v>
      </c>
      <c r="D19" s="120">
        <f t="shared" si="0"/>
        <v>1.1564815275222513</v>
      </c>
      <c r="E19" s="254">
        <v>80.017241379310349</v>
      </c>
      <c r="F19" s="8"/>
      <c r="G19" s="8"/>
      <c r="H19" s="8"/>
      <c r="J19" s="8"/>
      <c r="K19" s="8"/>
      <c r="L19" s="8"/>
      <c r="M19" s="8"/>
      <c r="N19" s="8"/>
      <c r="O19" s="136"/>
      <c r="Q19" s="255"/>
      <c r="R19" s="12"/>
      <c r="S19" s="13"/>
    </row>
    <row r="20" spans="1:19" ht="17.25" hidden="1" customHeight="1">
      <c r="A20" s="428">
        <v>41699</v>
      </c>
      <c r="B20" s="118">
        <v>86.425925925925924</v>
      </c>
      <c r="C20" s="119">
        <f>F110</f>
        <v>87.572580645161295</v>
      </c>
      <c r="D20" s="120">
        <f t="shared" si="0"/>
        <v>1.0132674855021877</v>
      </c>
      <c r="E20" s="254">
        <v>86.425925925925924</v>
      </c>
      <c r="F20" s="8"/>
      <c r="G20" s="8"/>
      <c r="H20" s="8"/>
      <c r="J20" s="8"/>
      <c r="K20" s="8"/>
      <c r="L20" s="8"/>
      <c r="M20" s="8"/>
      <c r="N20" s="8"/>
      <c r="O20" s="136"/>
      <c r="Q20" s="10"/>
      <c r="R20" s="12"/>
      <c r="S20" s="13"/>
    </row>
    <row r="21" spans="1:19" ht="17.25" hidden="1" customHeight="1">
      <c r="A21" s="428">
        <v>41730</v>
      </c>
      <c r="B21" s="118">
        <v>80.239316239316238</v>
      </c>
      <c r="C21" s="119">
        <f>G110</f>
        <v>88.642276422764226</v>
      </c>
      <c r="D21" s="120">
        <f t="shared" si="0"/>
        <v>1.1047237261891154</v>
      </c>
      <c r="E21" s="254">
        <v>80.239316239316238</v>
      </c>
      <c r="F21" s="8"/>
      <c r="G21" s="8"/>
      <c r="H21" s="8"/>
      <c r="J21" s="8"/>
      <c r="K21" s="8"/>
      <c r="L21" s="8"/>
      <c r="M21" s="8"/>
      <c r="N21" s="8"/>
      <c r="O21" s="136"/>
      <c r="Q21" s="10"/>
      <c r="R21" s="12"/>
      <c r="S21" s="13"/>
    </row>
    <row r="22" spans="1:19" ht="17.25" hidden="1" customHeight="1">
      <c r="A22" s="428">
        <v>41760</v>
      </c>
      <c r="B22" s="118">
        <v>75.887096774193552</v>
      </c>
      <c r="C22" s="119">
        <f>H110</f>
        <v>88.475806451612897</v>
      </c>
      <c r="D22" s="120">
        <f t="shared" si="0"/>
        <v>1.1658873538788521</v>
      </c>
      <c r="E22" s="254">
        <v>75.887096774193552</v>
      </c>
      <c r="F22" s="8"/>
      <c r="G22" s="8"/>
      <c r="H22" s="8"/>
      <c r="J22" s="8"/>
      <c r="K22" s="8"/>
      <c r="L22" s="8"/>
      <c r="M22" s="8"/>
      <c r="N22" s="8"/>
      <c r="O22" s="136"/>
      <c r="Q22" s="10"/>
      <c r="R22" s="12"/>
      <c r="S22" s="13"/>
    </row>
    <row r="23" spans="1:19" ht="17.25" hidden="1" customHeight="1">
      <c r="A23" s="428">
        <v>41791</v>
      </c>
      <c r="B23" s="118">
        <v>78.148760330578511</v>
      </c>
      <c r="C23" s="119">
        <f>I110</f>
        <v>90.344262295081961</v>
      </c>
      <c r="D23" s="120">
        <f t="shared" si="0"/>
        <v>1.1560549638012814</v>
      </c>
      <c r="E23" s="254">
        <v>78.148760330578511</v>
      </c>
      <c r="F23" s="8"/>
      <c r="G23" s="8"/>
      <c r="H23" s="8"/>
      <c r="J23" s="8"/>
      <c r="K23" s="8"/>
      <c r="L23" s="8"/>
      <c r="M23" s="8"/>
      <c r="N23" s="8"/>
      <c r="O23" s="136"/>
      <c r="Q23" s="10"/>
      <c r="R23" s="12"/>
      <c r="S23" s="13"/>
    </row>
    <row r="24" spans="1:19" ht="17.25" hidden="1" customHeight="1">
      <c r="A24" s="428">
        <v>41821</v>
      </c>
      <c r="B24" s="118">
        <v>78.512396694214871</v>
      </c>
      <c r="C24" s="119">
        <f>J110</f>
        <v>91.495867768595048</v>
      </c>
      <c r="D24" s="120">
        <f t="shared" si="0"/>
        <v>1.1653684210526318</v>
      </c>
      <c r="E24" s="254">
        <v>78.512396694214871</v>
      </c>
      <c r="F24" s="8"/>
      <c r="G24" s="8"/>
      <c r="H24" s="8"/>
      <c r="J24" s="8"/>
      <c r="K24" s="8"/>
      <c r="L24" s="8"/>
      <c r="M24" s="8"/>
      <c r="N24" s="8"/>
      <c r="O24" s="136"/>
      <c r="Q24" s="10"/>
      <c r="R24" s="12"/>
      <c r="S24" s="13"/>
    </row>
    <row r="25" spans="1:19" ht="17.25" hidden="1" customHeight="1">
      <c r="A25" s="428">
        <v>41852</v>
      </c>
      <c r="B25" s="118">
        <v>78.84297520661157</v>
      </c>
      <c r="C25" s="119">
        <f>K110</f>
        <v>89.629032258064512</v>
      </c>
      <c r="D25" s="120">
        <f t="shared" si="0"/>
        <v>1.1368042875498749</v>
      </c>
      <c r="E25" s="254">
        <v>78.84297520661157</v>
      </c>
      <c r="F25" s="8"/>
      <c r="G25" s="8"/>
      <c r="H25" s="8"/>
      <c r="J25" s="8"/>
      <c r="K25" s="8"/>
      <c r="L25" s="8"/>
      <c r="M25" s="8"/>
      <c r="N25" s="8"/>
      <c r="O25" s="136"/>
      <c r="Q25" s="10"/>
      <c r="R25" s="12"/>
      <c r="S25" s="13"/>
    </row>
    <row r="26" spans="1:19" ht="17.25" hidden="1" customHeight="1">
      <c r="A26" s="428">
        <v>41883</v>
      </c>
      <c r="B26" s="118">
        <v>77.314516129032256</v>
      </c>
      <c r="C26" s="119">
        <f>L110</f>
        <v>87.661417322834652</v>
      </c>
      <c r="D26" s="120">
        <f t="shared" si="0"/>
        <v>1.1338287001180241</v>
      </c>
      <c r="E26" s="254">
        <v>77.314516129032256</v>
      </c>
      <c r="F26" s="8"/>
      <c r="G26" s="8"/>
      <c r="H26" s="8"/>
      <c r="J26" s="8"/>
      <c r="K26" s="8"/>
      <c r="L26" s="8"/>
      <c r="M26" s="8"/>
      <c r="N26" s="8"/>
      <c r="O26" s="136"/>
      <c r="Q26" s="10"/>
      <c r="R26" s="12"/>
      <c r="S26" s="13"/>
    </row>
    <row r="27" spans="1:19" ht="17.25" hidden="1" customHeight="1">
      <c r="A27" s="428">
        <v>41913</v>
      </c>
      <c r="B27" s="118">
        <v>75.811023622047244</v>
      </c>
      <c r="C27" s="119">
        <f>M110</f>
        <v>90.032258064516128</v>
      </c>
      <c r="D27" s="120">
        <f t="shared" si="0"/>
        <v>1.1875879491268746</v>
      </c>
      <c r="E27" s="254">
        <v>75.811023622047244</v>
      </c>
      <c r="F27" s="8"/>
      <c r="G27" s="8"/>
      <c r="H27" s="8"/>
      <c r="J27" s="8"/>
      <c r="K27" s="8"/>
      <c r="L27" s="8"/>
      <c r="M27" s="8"/>
      <c r="N27" s="8"/>
      <c r="O27" s="136"/>
      <c r="Q27" s="10"/>
      <c r="R27" s="12"/>
      <c r="S27" s="13"/>
    </row>
    <row r="28" spans="1:19" ht="17.25" hidden="1" customHeight="1">
      <c r="A28" s="428">
        <v>41944</v>
      </c>
      <c r="B28" s="118">
        <v>72.171641791044777</v>
      </c>
      <c r="C28" s="119">
        <f>N110</f>
        <v>90.41935483870968</v>
      </c>
      <c r="D28" s="120">
        <f t="shared" si="0"/>
        <v>1.2528377156847375</v>
      </c>
      <c r="E28" s="361">
        <v>72.171641791044777</v>
      </c>
      <c r="F28" s="8"/>
      <c r="G28" s="8"/>
      <c r="H28" s="8"/>
      <c r="J28" s="8"/>
      <c r="K28" s="8"/>
      <c r="L28" s="8"/>
      <c r="M28" s="8"/>
      <c r="N28" s="8"/>
      <c r="O28" s="136"/>
      <c r="Q28" s="10"/>
      <c r="R28" s="12"/>
      <c r="S28" s="13"/>
    </row>
    <row r="29" spans="1:19" ht="17.25" hidden="1" customHeight="1" thickBot="1">
      <c r="A29" s="560">
        <v>41974</v>
      </c>
      <c r="B29" s="363">
        <v>73.462121212121218</v>
      </c>
      <c r="C29" s="561">
        <f>O110</f>
        <v>87.085271317829452</v>
      </c>
      <c r="D29" s="562">
        <f t="shared" ref="D29:D34" si="1">+C29/B29</f>
        <v>1.1854445512997305</v>
      </c>
      <c r="E29" s="563">
        <v>73.462121212121218</v>
      </c>
      <c r="F29" s="8"/>
      <c r="G29" s="8"/>
      <c r="H29" s="8"/>
      <c r="J29" s="8"/>
      <c r="K29" s="8"/>
      <c r="L29" s="8"/>
      <c r="M29" s="8"/>
      <c r="N29" s="8"/>
      <c r="O29" s="136"/>
      <c r="Q29" s="10"/>
      <c r="R29" s="12"/>
      <c r="S29" s="13"/>
    </row>
    <row r="30" spans="1:19" ht="17.25" hidden="1" customHeight="1" thickBot="1">
      <c r="A30" s="481">
        <v>42005</v>
      </c>
      <c r="B30" s="461">
        <v>75</v>
      </c>
      <c r="C30" s="461">
        <v>84.56557377049181</v>
      </c>
      <c r="D30" s="461">
        <f t="shared" si="1"/>
        <v>1.1275409836065575</v>
      </c>
      <c r="E30" s="462">
        <v>84.56557377049181</v>
      </c>
      <c r="F30" s="8"/>
      <c r="G30" s="8"/>
      <c r="H30" s="8"/>
      <c r="J30" s="8"/>
      <c r="K30" s="8"/>
      <c r="L30" s="8"/>
      <c r="M30" s="8"/>
      <c r="N30" s="8"/>
      <c r="O30" s="136"/>
      <c r="Q30" s="461">
        <v>84.56557377049181</v>
      </c>
      <c r="R30" s="12">
        <f>C30-Q30</f>
        <v>0</v>
      </c>
      <c r="S30" s="13"/>
    </row>
    <row r="31" spans="1:19" ht="17.25" hidden="1" customHeight="1">
      <c r="A31" s="481">
        <v>42036</v>
      </c>
      <c r="B31" s="461">
        <v>75</v>
      </c>
      <c r="C31" s="461">
        <v>81.622047244094489</v>
      </c>
      <c r="D31" s="461">
        <f t="shared" si="1"/>
        <v>1.0882939632545932</v>
      </c>
      <c r="E31" s="462">
        <v>81.622047244094489</v>
      </c>
      <c r="F31" s="8"/>
      <c r="G31" s="8"/>
      <c r="H31" s="8"/>
      <c r="J31" s="8"/>
      <c r="K31" s="8"/>
      <c r="L31" s="8"/>
      <c r="M31" s="8"/>
      <c r="N31" s="8"/>
      <c r="O31" s="136"/>
      <c r="Q31" s="363">
        <v>81.622047244094489</v>
      </c>
      <c r="R31" s="12">
        <f t="shared" ref="R31:R41" si="2">C31-Q31</f>
        <v>0</v>
      </c>
      <c r="S31" s="13"/>
    </row>
    <row r="32" spans="1:19" ht="17.25" hidden="1" customHeight="1">
      <c r="A32" s="482">
        <v>42064</v>
      </c>
      <c r="B32" s="363">
        <v>75</v>
      </c>
      <c r="C32" s="363">
        <v>80.015384615384619</v>
      </c>
      <c r="D32" s="363">
        <f t="shared" si="1"/>
        <v>1.066871794871795</v>
      </c>
      <c r="E32" s="369">
        <v>80.015384615384619</v>
      </c>
      <c r="F32" s="8"/>
      <c r="G32" s="8"/>
      <c r="H32" s="8"/>
      <c r="J32" s="8"/>
      <c r="K32" s="8"/>
      <c r="L32" s="8"/>
      <c r="M32" s="8"/>
      <c r="N32" s="8"/>
      <c r="O32" s="136"/>
      <c r="Q32" s="363">
        <v>80.015384615384619</v>
      </c>
      <c r="R32" s="12">
        <f t="shared" si="2"/>
        <v>0</v>
      </c>
      <c r="S32" s="13"/>
    </row>
    <row r="33" spans="1:19" ht="17.25" hidden="1" customHeight="1">
      <c r="A33" s="482">
        <v>42095</v>
      </c>
      <c r="B33" s="363">
        <v>75</v>
      </c>
      <c r="C33" s="363">
        <v>77.694029850746276</v>
      </c>
      <c r="D33" s="363">
        <f t="shared" si="1"/>
        <v>1.0359203980099503</v>
      </c>
      <c r="E33" s="369">
        <v>78</v>
      </c>
      <c r="F33" s="8"/>
      <c r="G33" s="8"/>
      <c r="H33" s="8"/>
      <c r="J33" s="8"/>
      <c r="K33" s="8"/>
      <c r="L33" s="8"/>
      <c r="M33" s="8"/>
      <c r="N33" s="8"/>
      <c r="O33" s="136"/>
      <c r="Q33" s="363">
        <v>78</v>
      </c>
      <c r="R33" s="12">
        <f t="shared" si="2"/>
        <v>-0.30597014925372434</v>
      </c>
      <c r="S33" s="13"/>
    </row>
    <row r="34" spans="1:19" ht="17.25" hidden="1" customHeight="1">
      <c r="A34" s="482">
        <v>42125</v>
      </c>
      <c r="B34" s="363">
        <v>75</v>
      </c>
      <c r="C34" s="363">
        <v>78.759398496240607</v>
      </c>
      <c r="D34" s="363">
        <f t="shared" si="1"/>
        <v>1.050125313283208</v>
      </c>
      <c r="E34" s="369">
        <v>79</v>
      </c>
      <c r="F34" s="8"/>
      <c r="G34" s="8"/>
      <c r="H34" s="8"/>
      <c r="J34" s="8"/>
      <c r="K34" s="8"/>
      <c r="L34" s="8"/>
      <c r="M34" s="8"/>
      <c r="N34" s="8"/>
      <c r="O34" s="136"/>
      <c r="Q34" s="363">
        <v>79</v>
      </c>
      <c r="R34" s="12">
        <f t="shared" si="2"/>
        <v>-0.24060150375939315</v>
      </c>
      <c r="S34" s="13"/>
    </row>
    <row r="35" spans="1:19" ht="17.25" hidden="1" customHeight="1">
      <c r="A35" s="482">
        <v>42156</v>
      </c>
      <c r="B35" s="363">
        <v>75</v>
      </c>
      <c r="C35" s="363">
        <v>77.235294117647058</v>
      </c>
      <c r="D35" s="363">
        <f t="shared" ref="D35:D43" si="3">+C35/B35</f>
        <v>1.0298039215686274</v>
      </c>
      <c r="E35" s="369">
        <v>77</v>
      </c>
      <c r="F35" s="8"/>
      <c r="G35" s="8"/>
      <c r="H35" s="8"/>
      <c r="J35" s="8"/>
      <c r="K35" s="8"/>
      <c r="L35" s="8"/>
      <c r="M35" s="8"/>
      <c r="N35" s="8"/>
      <c r="O35" s="136"/>
      <c r="Q35" s="363">
        <v>77</v>
      </c>
      <c r="R35" s="12">
        <f t="shared" si="2"/>
        <v>0.23529411764705799</v>
      </c>
      <c r="S35" s="13"/>
    </row>
    <row r="36" spans="1:19" ht="17.25" hidden="1" customHeight="1">
      <c r="A36" s="482">
        <v>42186</v>
      </c>
      <c r="B36" s="363">
        <v>75</v>
      </c>
      <c r="C36" s="363">
        <v>79.856060606060609</v>
      </c>
      <c r="D36" s="363">
        <f t="shared" si="3"/>
        <v>1.0647474747474748</v>
      </c>
      <c r="E36" s="369">
        <v>80</v>
      </c>
      <c r="F36" s="8"/>
      <c r="G36" s="8"/>
      <c r="H36" s="8"/>
      <c r="J36" s="8"/>
      <c r="K36" s="8"/>
      <c r="L36" s="8"/>
      <c r="M36" s="8"/>
      <c r="N36" s="8"/>
      <c r="O36" s="136"/>
      <c r="Q36" s="363">
        <v>80</v>
      </c>
      <c r="R36" s="12">
        <f t="shared" si="2"/>
        <v>-0.14393939393939092</v>
      </c>
      <c r="S36" s="13"/>
    </row>
    <row r="37" spans="1:19" ht="17.25" hidden="1" customHeight="1">
      <c r="A37" s="482">
        <v>42217</v>
      </c>
      <c r="B37" s="363">
        <v>75</v>
      </c>
      <c r="C37" s="363">
        <v>79.857142857142861</v>
      </c>
      <c r="D37" s="363">
        <f t="shared" si="3"/>
        <v>1.0647619047619048</v>
      </c>
      <c r="E37" s="369">
        <v>80</v>
      </c>
      <c r="F37" s="8"/>
      <c r="G37" s="8"/>
      <c r="H37" s="8"/>
      <c r="J37" s="8"/>
      <c r="K37" s="8"/>
      <c r="L37" s="8"/>
      <c r="M37" s="8"/>
      <c r="N37" s="8"/>
      <c r="O37" s="136"/>
      <c r="Q37" s="363">
        <v>80</v>
      </c>
      <c r="R37" s="12">
        <f t="shared" si="2"/>
        <v>-0.1428571428571388</v>
      </c>
      <c r="S37" s="13"/>
    </row>
    <row r="38" spans="1:19" ht="17.25" hidden="1" customHeight="1">
      <c r="A38" s="482">
        <v>42248</v>
      </c>
      <c r="B38" s="363">
        <v>75</v>
      </c>
      <c r="C38" s="363">
        <v>79.425373134328353</v>
      </c>
      <c r="D38" s="363">
        <f t="shared" si="3"/>
        <v>1.059004975124378</v>
      </c>
      <c r="E38" s="369">
        <v>79</v>
      </c>
      <c r="F38" s="8"/>
      <c r="G38" s="8"/>
      <c r="H38" s="8"/>
      <c r="J38" s="8"/>
      <c r="K38" s="8"/>
      <c r="L38" s="8"/>
      <c r="M38" s="8"/>
      <c r="N38" s="8"/>
      <c r="O38" s="136"/>
      <c r="Q38" s="363">
        <v>79</v>
      </c>
      <c r="R38" s="12">
        <f t="shared" si="2"/>
        <v>0.42537313432835333</v>
      </c>
      <c r="S38" s="13"/>
    </row>
    <row r="39" spans="1:19" ht="12" hidden="1">
      <c r="A39" s="482">
        <v>42278</v>
      </c>
      <c r="B39" s="363">
        <v>75</v>
      </c>
      <c r="C39" s="363">
        <v>79.776119402985074</v>
      </c>
      <c r="D39" s="363">
        <f t="shared" si="3"/>
        <v>1.0636815920398011</v>
      </c>
      <c r="E39" s="369">
        <v>80</v>
      </c>
      <c r="F39" s="8"/>
      <c r="G39" s="8"/>
      <c r="H39" s="8"/>
      <c r="J39" s="8"/>
      <c r="K39" s="8"/>
      <c r="L39" s="8"/>
      <c r="M39" s="8"/>
      <c r="N39" s="8"/>
      <c r="O39" s="136"/>
      <c r="Q39" s="363">
        <v>80</v>
      </c>
      <c r="R39" s="12">
        <f t="shared" si="2"/>
        <v>-0.2238805970149258</v>
      </c>
      <c r="S39" s="13"/>
    </row>
    <row r="40" spans="1:19" ht="12" hidden="1">
      <c r="A40" s="482">
        <v>42309</v>
      </c>
      <c r="B40" s="363">
        <v>75</v>
      </c>
      <c r="C40" s="363">
        <v>81.287878787878782</v>
      </c>
      <c r="D40" s="363">
        <f t="shared" si="3"/>
        <v>1.0838383838383838</v>
      </c>
      <c r="E40" s="369">
        <v>81</v>
      </c>
      <c r="F40" s="8"/>
      <c r="G40" s="8"/>
      <c r="H40" s="8"/>
      <c r="J40" s="8"/>
      <c r="K40" s="8"/>
      <c r="L40" s="8"/>
      <c r="M40" s="8"/>
      <c r="N40" s="8"/>
      <c r="O40" s="136"/>
      <c r="Q40" s="363">
        <v>81</v>
      </c>
      <c r="R40" s="12">
        <f t="shared" si="2"/>
        <v>0.28787878787878185</v>
      </c>
      <c r="S40" s="13"/>
    </row>
    <row r="41" spans="1:19" ht="12.75" hidden="1" thickBot="1">
      <c r="A41" s="482">
        <v>42339</v>
      </c>
      <c r="B41" s="363">
        <v>75</v>
      </c>
      <c r="C41" s="363">
        <v>81.727272727272734</v>
      </c>
      <c r="D41" s="363">
        <f t="shared" si="3"/>
        <v>1.0896969696969698</v>
      </c>
      <c r="E41" s="369">
        <v>82</v>
      </c>
      <c r="F41" s="8"/>
      <c r="G41" s="8"/>
      <c r="H41" s="8"/>
      <c r="J41" s="8"/>
      <c r="K41" s="8"/>
      <c r="L41" s="8"/>
      <c r="M41" s="8"/>
      <c r="N41" s="8"/>
      <c r="O41" s="136"/>
      <c r="Q41" s="164">
        <v>82</v>
      </c>
      <c r="R41" s="12">
        <f t="shared" si="2"/>
        <v>-0.27272727272726627</v>
      </c>
      <c r="S41" s="13"/>
    </row>
    <row r="42" spans="1:19" ht="12" hidden="1">
      <c r="A42" s="481">
        <v>42370</v>
      </c>
      <c r="B42" s="461">
        <v>80</v>
      </c>
      <c r="C42" s="461">
        <v>91</v>
      </c>
      <c r="D42" s="461">
        <f t="shared" si="3"/>
        <v>1.1375</v>
      </c>
      <c r="E42" s="462">
        <v>84.56557377049181</v>
      </c>
      <c r="F42" s="8"/>
      <c r="G42" s="8"/>
      <c r="H42" s="8"/>
      <c r="J42" s="8"/>
      <c r="K42" s="8"/>
      <c r="L42" s="8"/>
      <c r="M42" s="8"/>
      <c r="N42" s="8"/>
      <c r="O42" s="136"/>
      <c r="Q42" s="10"/>
      <c r="R42" s="12"/>
      <c r="S42" s="13"/>
    </row>
    <row r="43" spans="1:19" ht="12" hidden="1">
      <c r="A43" s="482">
        <v>42401</v>
      </c>
      <c r="B43" s="363">
        <v>80</v>
      </c>
      <c r="C43" s="363">
        <v>92.538461538461533</v>
      </c>
      <c r="D43" s="363">
        <f t="shared" si="3"/>
        <v>1.1567307692307691</v>
      </c>
      <c r="E43" s="369">
        <v>81.622047244094489</v>
      </c>
      <c r="F43" s="8"/>
      <c r="G43" s="8"/>
      <c r="H43" s="8"/>
      <c r="J43" s="8"/>
      <c r="K43" s="8"/>
      <c r="L43" s="8"/>
      <c r="M43" s="8"/>
      <c r="N43" s="8"/>
      <c r="O43" s="136"/>
      <c r="Q43" s="10"/>
      <c r="R43" s="12"/>
      <c r="S43" s="13"/>
    </row>
    <row r="44" spans="1:19" ht="12" hidden="1">
      <c r="A44" s="482">
        <v>42430</v>
      </c>
      <c r="B44" s="363">
        <v>80</v>
      </c>
      <c r="C44" s="363">
        <v>87.572580645161295</v>
      </c>
      <c r="D44" s="363">
        <v>1</v>
      </c>
      <c r="E44" s="369">
        <v>80.015384615384619</v>
      </c>
      <c r="F44" s="8">
        <v>90.344262295081961</v>
      </c>
      <c r="G44" s="8">
        <v>91.495867768595048</v>
      </c>
      <c r="H44" s="8">
        <v>89.629032258064512</v>
      </c>
      <c r="I44" s="8">
        <v>87.661417322834652</v>
      </c>
      <c r="J44" s="8">
        <v>90.032258064516128</v>
      </c>
      <c r="K44" s="8">
        <v>90.41935483870968</v>
      </c>
      <c r="L44" s="8">
        <v>87.085271317829452</v>
      </c>
      <c r="M44" s="8"/>
      <c r="N44" s="8"/>
      <c r="O44" s="136"/>
      <c r="Q44" s="10"/>
      <c r="R44" s="12"/>
      <c r="S44" s="13"/>
    </row>
    <row r="45" spans="1:19" ht="12" hidden="1">
      <c r="A45" s="482">
        <v>42461</v>
      </c>
      <c r="B45" s="363">
        <v>80</v>
      </c>
      <c r="C45" s="363">
        <v>88.642276422764226</v>
      </c>
      <c r="D45" s="363">
        <v>1</v>
      </c>
      <c r="E45" s="369">
        <v>78</v>
      </c>
      <c r="F45" s="8">
        <v>90.344262295081961</v>
      </c>
      <c r="G45" s="8">
        <v>91.495867768595048</v>
      </c>
      <c r="H45" s="8">
        <v>89.629032258064512</v>
      </c>
      <c r="I45" s="8">
        <v>87.661417322834652</v>
      </c>
      <c r="J45" s="8">
        <v>90.032258064516128</v>
      </c>
      <c r="K45" s="8">
        <v>90.41935483870968</v>
      </c>
      <c r="L45" s="8">
        <v>87.085271317829452</v>
      </c>
      <c r="M45" s="8"/>
      <c r="N45" s="8"/>
      <c r="O45" s="136"/>
      <c r="Q45" s="10"/>
      <c r="R45" s="12"/>
      <c r="S45" s="13"/>
    </row>
    <row r="46" spans="1:19" ht="12" hidden="1">
      <c r="A46" s="482">
        <v>42491</v>
      </c>
      <c r="B46" s="363">
        <v>80</v>
      </c>
      <c r="C46" s="363">
        <v>88.475806451612897</v>
      </c>
      <c r="D46" s="363">
        <v>1</v>
      </c>
      <c r="E46" s="369">
        <v>79</v>
      </c>
      <c r="F46" s="8">
        <v>90.344262295081961</v>
      </c>
      <c r="G46" s="8">
        <v>91.495867768595048</v>
      </c>
      <c r="H46" s="8">
        <v>89.629032258064512</v>
      </c>
      <c r="I46" s="8">
        <v>87.661417322834652</v>
      </c>
      <c r="J46" s="8">
        <v>90.032258064516128</v>
      </c>
      <c r="K46" s="8">
        <v>90.41935483870968</v>
      </c>
      <c r="L46" s="8">
        <v>87.085271317829452</v>
      </c>
      <c r="M46" s="8"/>
      <c r="N46" s="8"/>
      <c r="O46" s="136"/>
      <c r="Q46" s="10"/>
      <c r="R46" s="12"/>
      <c r="S46" s="13"/>
    </row>
    <row r="47" spans="1:19" ht="12" hidden="1">
      <c r="A47" s="482">
        <v>42522</v>
      </c>
      <c r="B47" s="363">
        <v>80</v>
      </c>
      <c r="C47" s="363">
        <v>90.344262295081961</v>
      </c>
      <c r="D47" s="363">
        <v>1</v>
      </c>
      <c r="E47" s="369">
        <v>77</v>
      </c>
      <c r="F47" s="8">
        <v>90.344262295081961</v>
      </c>
      <c r="G47" s="8">
        <v>91.495867768595048</v>
      </c>
      <c r="H47" s="8">
        <v>89.629032258064512</v>
      </c>
      <c r="I47" s="8">
        <v>87.661417322834652</v>
      </c>
      <c r="J47" s="8">
        <v>90.032258064516128</v>
      </c>
      <c r="K47" s="8">
        <v>90.41935483870968</v>
      </c>
      <c r="L47" s="8">
        <v>87.085271317829452</v>
      </c>
      <c r="M47" s="8"/>
      <c r="N47" s="8"/>
      <c r="O47" s="136"/>
      <c r="Q47" s="10"/>
      <c r="R47" s="12"/>
      <c r="S47" s="13"/>
    </row>
    <row r="48" spans="1:19" ht="12" hidden="1">
      <c r="A48" s="482">
        <v>42552</v>
      </c>
      <c r="B48" s="363">
        <v>80</v>
      </c>
      <c r="C48" s="363">
        <v>91.495867768595048</v>
      </c>
      <c r="D48" s="363">
        <v>1</v>
      </c>
      <c r="E48" s="369">
        <v>80</v>
      </c>
      <c r="F48" s="8">
        <v>90.344262295081961</v>
      </c>
      <c r="G48" s="8">
        <v>91.495867768595048</v>
      </c>
      <c r="H48" s="8">
        <v>89.629032258064512</v>
      </c>
      <c r="I48" s="8">
        <v>87.661417322834652</v>
      </c>
      <c r="J48" s="8">
        <v>90.032258064516128</v>
      </c>
      <c r="K48" s="8">
        <v>90.41935483870968</v>
      </c>
      <c r="L48" s="8">
        <v>87.085271317829452</v>
      </c>
      <c r="M48" s="8"/>
      <c r="N48" s="8"/>
      <c r="O48" s="136"/>
      <c r="Q48" s="10"/>
      <c r="R48" s="12"/>
      <c r="S48" s="13"/>
    </row>
    <row r="49" spans="1:19" ht="12" hidden="1">
      <c r="A49" s="482">
        <v>42583</v>
      </c>
      <c r="B49" s="363">
        <v>80</v>
      </c>
      <c r="C49" s="363">
        <v>89.629032258064512</v>
      </c>
      <c r="D49" s="363">
        <v>1</v>
      </c>
      <c r="E49" s="369">
        <v>80</v>
      </c>
      <c r="F49" s="8">
        <v>90.344262295081961</v>
      </c>
      <c r="G49" s="8">
        <v>91.495867768595048</v>
      </c>
      <c r="H49" s="8">
        <v>89.629032258064512</v>
      </c>
      <c r="I49" s="8">
        <v>87.661417322834652</v>
      </c>
      <c r="J49" s="8">
        <v>90.032258064516128</v>
      </c>
      <c r="K49" s="8">
        <v>90.41935483870968</v>
      </c>
      <c r="L49" s="8">
        <v>87.085271317829452</v>
      </c>
      <c r="M49" s="8"/>
      <c r="N49" s="8"/>
      <c r="O49" s="136"/>
      <c r="Q49" s="10"/>
      <c r="R49" s="12"/>
      <c r="S49" s="13"/>
    </row>
    <row r="50" spans="1:19" ht="12" hidden="1">
      <c r="A50" s="482">
        <v>42614</v>
      </c>
      <c r="B50" s="363">
        <v>80</v>
      </c>
      <c r="C50" s="363">
        <v>87.661417322834652</v>
      </c>
      <c r="D50" s="363">
        <v>1</v>
      </c>
      <c r="E50" s="369">
        <v>79</v>
      </c>
      <c r="F50" s="8">
        <v>90.344262295081961</v>
      </c>
      <c r="G50" s="8">
        <v>91.495867768595048</v>
      </c>
      <c r="H50" s="8">
        <v>89.629032258064512</v>
      </c>
      <c r="I50" s="8">
        <v>87.661417322834652</v>
      </c>
      <c r="J50" s="8">
        <v>90.032258064516128</v>
      </c>
      <c r="K50" s="8">
        <v>90.41935483870968</v>
      </c>
      <c r="L50" s="8">
        <v>87.085271317829452</v>
      </c>
      <c r="M50" s="8"/>
      <c r="N50" s="8"/>
      <c r="O50" s="136"/>
      <c r="Q50" s="10"/>
      <c r="R50" s="12"/>
      <c r="S50" s="13"/>
    </row>
    <row r="51" spans="1:19" ht="12" hidden="1">
      <c r="A51" s="482">
        <v>42644</v>
      </c>
      <c r="B51" s="363">
        <v>80</v>
      </c>
      <c r="C51" s="363">
        <v>90.032258064516128</v>
      </c>
      <c r="D51" s="363">
        <v>1</v>
      </c>
      <c r="E51" s="369">
        <v>80</v>
      </c>
      <c r="F51" s="8">
        <v>90.344262295081961</v>
      </c>
      <c r="G51" s="8">
        <v>91.495867768595048</v>
      </c>
      <c r="H51" s="8">
        <v>89.629032258064512</v>
      </c>
      <c r="I51" s="8">
        <v>87.661417322834652</v>
      </c>
      <c r="J51" s="8">
        <v>90.032258064516128</v>
      </c>
      <c r="K51" s="8">
        <v>90.41935483870968</v>
      </c>
      <c r="L51" s="8">
        <v>87.085271317829452</v>
      </c>
      <c r="M51" s="8"/>
      <c r="N51" s="8"/>
      <c r="O51" s="136"/>
      <c r="Q51" s="10"/>
      <c r="R51" s="12"/>
      <c r="S51" s="13"/>
    </row>
    <row r="52" spans="1:19" ht="12" hidden="1">
      <c r="A52" s="482">
        <v>42675</v>
      </c>
      <c r="B52" s="363">
        <v>80</v>
      </c>
      <c r="C52" s="363">
        <v>90.41935483870968</v>
      </c>
      <c r="D52" s="363">
        <v>1</v>
      </c>
      <c r="E52" s="369">
        <v>81</v>
      </c>
      <c r="F52" s="8">
        <v>90.344262295081961</v>
      </c>
      <c r="G52" s="8">
        <v>91.495867768595048</v>
      </c>
      <c r="H52" s="8">
        <v>89.629032258064512</v>
      </c>
      <c r="I52" s="8">
        <v>87.661417322834652</v>
      </c>
      <c r="J52" s="8">
        <v>90.032258064516128</v>
      </c>
      <c r="K52" s="8">
        <v>90.41935483870968</v>
      </c>
      <c r="L52" s="8">
        <v>87.085271317829452</v>
      </c>
      <c r="M52" s="8"/>
      <c r="N52" s="8"/>
      <c r="O52" s="136"/>
      <c r="Q52" s="10"/>
      <c r="R52" s="12"/>
      <c r="S52" s="13"/>
    </row>
    <row r="53" spans="1:19" ht="12" hidden="1">
      <c r="A53" s="482">
        <v>42705</v>
      </c>
      <c r="B53" s="363">
        <v>80</v>
      </c>
      <c r="C53" s="363">
        <v>87.085271317829452</v>
      </c>
      <c r="D53" s="363">
        <v>1</v>
      </c>
      <c r="E53" s="369">
        <v>82</v>
      </c>
      <c r="F53" s="8">
        <v>90.344262295081961</v>
      </c>
      <c r="G53" s="8">
        <v>91.495867768595048</v>
      </c>
      <c r="H53" s="8">
        <v>89.629032258064512</v>
      </c>
      <c r="I53" s="8">
        <v>87.661417322834652</v>
      </c>
      <c r="J53" s="8">
        <v>90.032258064516128</v>
      </c>
      <c r="K53" s="8">
        <v>90.41935483870968</v>
      </c>
      <c r="L53" s="8">
        <v>87.085271317829452</v>
      </c>
      <c r="M53" s="8"/>
      <c r="N53" s="8"/>
      <c r="O53" s="136"/>
      <c r="Q53" s="10"/>
      <c r="R53" s="12"/>
      <c r="S53" s="13"/>
    </row>
    <row r="54" spans="1:19" ht="12" hidden="1">
      <c r="A54" s="1227">
        <v>42736</v>
      </c>
      <c r="B54" s="1243">
        <v>85</v>
      </c>
      <c r="C54" s="1242">
        <v>87.844961240310084</v>
      </c>
      <c r="D54" s="250">
        <v>1</v>
      </c>
      <c r="E54" s="1225">
        <v>85</v>
      </c>
      <c r="F54" s="8"/>
      <c r="G54" s="8"/>
      <c r="H54" s="8"/>
      <c r="J54" s="8"/>
      <c r="K54" s="8"/>
      <c r="L54" s="8"/>
      <c r="M54" s="8"/>
      <c r="N54" s="8"/>
      <c r="O54" s="136"/>
      <c r="Q54" s="10"/>
      <c r="R54" s="12"/>
      <c r="S54" s="13"/>
    </row>
    <row r="55" spans="1:19" ht="12" hidden="1">
      <c r="A55" s="1228">
        <v>42767</v>
      </c>
      <c r="B55" s="1244">
        <v>85</v>
      </c>
      <c r="C55" s="1241">
        <v>84.19259259259259</v>
      </c>
      <c r="D55" s="118">
        <v>1</v>
      </c>
      <c r="E55" s="1226">
        <v>82</v>
      </c>
      <c r="F55" s="8"/>
      <c r="G55" s="8"/>
      <c r="H55" s="8"/>
      <c r="J55" s="8"/>
      <c r="K55" s="8"/>
      <c r="L55" s="8"/>
      <c r="M55" s="8"/>
      <c r="N55" s="8"/>
      <c r="O55" s="136"/>
      <c r="Q55" s="10"/>
      <c r="R55" s="12"/>
      <c r="S55" s="13"/>
    </row>
    <row r="56" spans="1:19" ht="12" hidden="1">
      <c r="A56" s="1228">
        <v>42795</v>
      </c>
      <c r="B56" s="1244">
        <v>85</v>
      </c>
      <c r="C56" s="1241">
        <v>81.920863309352512</v>
      </c>
      <c r="D56" s="118">
        <v>1</v>
      </c>
      <c r="E56" s="1226">
        <v>80</v>
      </c>
      <c r="F56" s="8"/>
      <c r="G56" s="8"/>
      <c r="H56" s="8"/>
      <c r="J56" s="8"/>
      <c r="K56" s="8"/>
      <c r="L56" s="8"/>
      <c r="M56" s="8"/>
      <c r="N56" s="8"/>
      <c r="O56" s="136"/>
      <c r="Q56" s="10"/>
      <c r="R56" s="12"/>
      <c r="S56" s="13"/>
    </row>
    <row r="57" spans="1:19" ht="12" hidden="1">
      <c r="A57" s="2566">
        <v>42826</v>
      </c>
      <c r="B57" s="1324">
        <v>85</v>
      </c>
      <c r="C57" s="1325">
        <v>79.388888888888886</v>
      </c>
      <c r="D57" s="363">
        <v>1</v>
      </c>
      <c r="E57" s="1326">
        <v>78</v>
      </c>
      <c r="F57" s="8"/>
      <c r="G57" s="8"/>
      <c r="H57" s="8"/>
      <c r="J57" s="8"/>
      <c r="K57" s="8"/>
      <c r="L57" s="8"/>
      <c r="M57" s="8"/>
      <c r="N57" s="8"/>
      <c r="O57" s="136"/>
      <c r="Q57" s="10"/>
      <c r="R57" s="12"/>
      <c r="S57" s="13"/>
    </row>
    <row r="58" spans="1:19" ht="12" hidden="1">
      <c r="A58" s="2567">
        <v>42856</v>
      </c>
      <c r="B58" s="2571">
        <v>85</v>
      </c>
      <c r="C58" s="2572">
        <v>76.899328859060404</v>
      </c>
      <c r="D58" s="2572">
        <v>1</v>
      </c>
      <c r="E58" s="2573">
        <v>79</v>
      </c>
      <c r="F58" s="8"/>
      <c r="G58" s="8"/>
      <c r="H58" s="8"/>
      <c r="J58" s="8"/>
      <c r="K58" s="8"/>
      <c r="L58" s="8"/>
      <c r="M58" s="8"/>
      <c r="N58" s="8"/>
      <c r="O58" s="136"/>
      <c r="Q58" s="10"/>
      <c r="R58" s="12"/>
      <c r="S58" s="13"/>
    </row>
    <row r="59" spans="1:19" ht="12" hidden="1">
      <c r="A59" s="2568">
        <v>42887</v>
      </c>
      <c r="B59" s="2574">
        <v>85</v>
      </c>
      <c r="C59" s="2570">
        <v>74.412903225806446</v>
      </c>
      <c r="D59" s="2570">
        <v>1</v>
      </c>
      <c r="E59" s="2575">
        <v>77</v>
      </c>
      <c r="F59" s="8"/>
      <c r="G59" s="8"/>
      <c r="H59" s="8"/>
      <c r="J59" s="8"/>
      <c r="K59" s="8"/>
      <c r="L59" s="8"/>
      <c r="M59" s="8"/>
      <c r="N59" s="8"/>
      <c r="O59" s="136"/>
      <c r="Q59" s="10"/>
      <c r="R59" s="12"/>
      <c r="S59" s="13"/>
    </row>
    <row r="60" spans="1:19" ht="12" hidden="1">
      <c r="A60" s="2568">
        <v>42917</v>
      </c>
      <c r="B60" s="2574">
        <v>85</v>
      </c>
      <c r="C60" s="2570">
        <v>74.412903225806446</v>
      </c>
      <c r="D60" s="2570">
        <v>1</v>
      </c>
      <c r="E60" s="2575">
        <v>80</v>
      </c>
      <c r="F60" s="8"/>
      <c r="G60" s="8"/>
      <c r="H60" s="8"/>
      <c r="J60" s="8"/>
      <c r="K60" s="8"/>
      <c r="L60" s="8"/>
      <c r="M60" s="8"/>
      <c r="N60" s="8"/>
      <c r="O60" s="136"/>
      <c r="Q60" s="10"/>
      <c r="R60" s="12"/>
      <c r="S60" s="13"/>
    </row>
    <row r="61" spans="1:19" ht="12" hidden="1">
      <c r="A61" s="2568">
        <v>42948</v>
      </c>
      <c r="B61" s="2574">
        <v>85</v>
      </c>
      <c r="C61" s="2570">
        <v>74.412903225806446</v>
      </c>
      <c r="D61" s="2570">
        <v>1</v>
      </c>
      <c r="E61" s="2575">
        <v>80</v>
      </c>
      <c r="F61" s="8"/>
      <c r="G61" s="8"/>
      <c r="H61" s="8"/>
      <c r="J61" s="8"/>
      <c r="K61" s="8"/>
      <c r="L61" s="8"/>
      <c r="M61" s="8"/>
      <c r="N61" s="8"/>
      <c r="O61" s="136"/>
      <c r="Q61" s="10"/>
      <c r="R61" s="12"/>
      <c r="S61" s="13"/>
    </row>
    <row r="62" spans="1:19" ht="12">
      <c r="A62" s="2568">
        <v>42979</v>
      </c>
      <c r="B62" s="2574">
        <v>85</v>
      </c>
      <c r="C62" s="2570">
        <v>74.412903225806446</v>
      </c>
      <c r="D62" s="2570">
        <v>1</v>
      </c>
      <c r="E62" s="2575">
        <v>79</v>
      </c>
      <c r="F62" s="8"/>
      <c r="G62" s="8"/>
      <c r="H62" s="8"/>
      <c r="J62" s="8"/>
      <c r="K62" s="8"/>
      <c r="L62" s="8"/>
      <c r="M62" s="8"/>
      <c r="N62" s="8"/>
      <c r="O62" s="136"/>
      <c r="Q62" s="10"/>
      <c r="R62" s="12"/>
      <c r="S62" s="13"/>
    </row>
    <row r="63" spans="1:19" ht="12">
      <c r="A63" s="2568">
        <v>43009</v>
      </c>
      <c r="B63" s="2574">
        <v>85</v>
      </c>
      <c r="C63" s="2570">
        <v>74.412903225806446</v>
      </c>
      <c r="D63" s="2570">
        <v>1</v>
      </c>
      <c r="E63" s="2575">
        <v>80</v>
      </c>
      <c r="F63" s="8"/>
      <c r="G63" s="8"/>
      <c r="H63" s="8"/>
      <c r="J63" s="8"/>
      <c r="K63" s="8"/>
      <c r="L63" s="8"/>
      <c r="M63" s="8"/>
      <c r="N63" s="8"/>
      <c r="O63" s="136"/>
      <c r="Q63" s="10"/>
      <c r="R63" s="12"/>
      <c r="S63" s="13"/>
    </row>
    <row r="64" spans="1:19" ht="12">
      <c r="A64" s="2568">
        <v>43040</v>
      </c>
      <c r="B64" s="2574">
        <v>85</v>
      </c>
      <c r="C64" s="2570">
        <v>74.412903225806446</v>
      </c>
      <c r="D64" s="2570">
        <v>1</v>
      </c>
      <c r="E64" s="2575">
        <v>81</v>
      </c>
      <c r="F64" s="8"/>
      <c r="G64" s="8"/>
      <c r="H64" s="8"/>
      <c r="J64" s="8"/>
      <c r="K64" s="8"/>
      <c r="L64" s="8"/>
      <c r="M64" s="8"/>
      <c r="N64" s="8"/>
      <c r="O64" s="136"/>
      <c r="Q64" s="10"/>
      <c r="R64" s="12"/>
      <c r="S64" s="13"/>
    </row>
    <row r="65" spans="1:19" ht="12">
      <c r="A65" s="2568">
        <v>43070</v>
      </c>
      <c r="B65" s="2574">
        <v>85</v>
      </c>
      <c r="C65" s="2570">
        <f>O99</f>
        <v>73.400000000000006</v>
      </c>
      <c r="D65" s="2570">
        <v>1</v>
      </c>
      <c r="E65" s="2575">
        <v>82</v>
      </c>
      <c r="F65" s="8"/>
      <c r="G65" s="8"/>
      <c r="H65" s="8"/>
      <c r="J65" s="8"/>
      <c r="K65" s="8"/>
      <c r="L65" s="8"/>
      <c r="M65" s="8"/>
      <c r="N65" s="8"/>
      <c r="O65" s="136"/>
      <c r="Q65" s="10"/>
      <c r="R65" s="12"/>
      <c r="S65" s="13"/>
    </row>
    <row r="66" spans="1:19" ht="12">
      <c r="A66" s="2568">
        <v>43101</v>
      </c>
      <c r="B66" s="2574">
        <v>85</v>
      </c>
      <c r="C66" s="2570">
        <f>+D88</f>
        <v>77.189542483660134</v>
      </c>
      <c r="D66" s="2570">
        <v>1</v>
      </c>
      <c r="E66" s="2575">
        <v>88</v>
      </c>
      <c r="F66" s="8"/>
      <c r="G66" s="8"/>
      <c r="H66" s="8"/>
      <c r="J66" s="8"/>
      <c r="K66" s="8"/>
      <c r="L66" s="8"/>
      <c r="M66" s="8"/>
      <c r="N66" s="8"/>
      <c r="O66" s="136"/>
      <c r="Q66" s="10"/>
      <c r="R66" s="12"/>
      <c r="S66" s="13"/>
    </row>
    <row r="67" spans="1:19" ht="12">
      <c r="A67" s="2568">
        <v>43132</v>
      </c>
      <c r="B67" s="2574">
        <v>85</v>
      </c>
      <c r="C67" s="2570">
        <f>+E88</f>
        <v>74.691823899371073</v>
      </c>
      <c r="D67" s="2570">
        <v>1</v>
      </c>
      <c r="E67" s="2575">
        <v>84</v>
      </c>
      <c r="F67" s="8"/>
      <c r="G67" s="8"/>
      <c r="H67" s="8"/>
      <c r="J67" s="8"/>
      <c r="K67" s="8"/>
      <c r="L67" s="8"/>
      <c r="M67" s="8"/>
      <c r="N67" s="8"/>
      <c r="O67" s="136"/>
      <c r="Q67" s="10"/>
      <c r="R67" s="12"/>
      <c r="S67" s="13"/>
    </row>
    <row r="68" spans="1:19" ht="12">
      <c r="A68" s="2568">
        <v>43160</v>
      </c>
      <c r="B68" s="2574">
        <v>85</v>
      </c>
      <c r="C68" s="2570">
        <f>+F88</f>
        <v>72.357575757575759</v>
      </c>
      <c r="D68" s="2570">
        <v>1</v>
      </c>
      <c r="E68" s="2575">
        <v>82</v>
      </c>
      <c r="F68" s="8"/>
      <c r="G68" s="8"/>
      <c r="H68" s="8"/>
      <c r="J68" s="8"/>
      <c r="K68" s="8"/>
      <c r="L68" s="8"/>
      <c r="M68" s="8"/>
      <c r="N68" s="8"/>
      <c r="O68" s="136"/>
      <c r="Q68" s="10"/>
      <c r="R68" s="12"/>
      <c r="S68" s="13"/>
    </row>
    <row r="69" spans="1:19" ht="12">
      <c r="A69" s="2568">
        <v>43191</v>
      </c>
      <c r="B69" s="2574">
        <v>85</v>
      </c>
      <c r="C69" s="2570">
        <f>+G88</f>
        <v>71.488095238095241</v>
      </c>
      <c r="D69" s="2570">
        <v>1</v>
      </c>
      <c r="E69" s="2575">
        <v>79</v>
      </c>
      <c r="F69" s="8"/>
      <c r="G69" s="8"/>
      <c r="H69" s="8"/>
      <c r="J69" s="8"/>
      <c r="K69" s="8"/>
      <c r="L69" s="8"/>
      <c r="M69" s="8"/>
      <c r="N69" s="8"/>
      <c r="O69" s="136"/>
      <c r="Q69" s="10"/>
      <c r="R69" s="12"/>
      <c r="S69" s="13"/>
    </row>
    <row r="70" spans="1:19" s="2640" customFormat="1" ht="12">
      <c r="A70" s="2635">
        <v>43221</v>
      </c>
      <c r="B70" s="2634">
        <v>85</v>
      </c>
      <c r="C70" s="2632">
        <f>+H88</f>
        <v>69.728323699421964</v>
      </c>
      <c r="D70" s="2632">
        <v>1</v>
      </c>
      <c r="E70" s="2633">
        <v>77</v>
      </c>
      <c r="F70" s="2641"/>
      <c r="G70" s="2641"/>
      <c r="H70" s="2641"/>
      <c r="I70" s="2641"/>
      <c r="J70" s="2641"/>
      <c r="K70" s="2641"/>
      <c r="L70" s="2641"/>
      <c r="M70" s="2641"/>
      <c r="N70" s="2641"/>
      <c r="O70" s="2654"/>
      <c r="Q70" s="2642"/>
      <c r="R70" s="2643"/>
      <c r="S70" s="2644"/>
    </row>
    <row r="71" spans="1:19" ht="12">
      <c r="A71" s="2568">
        <v>43252</v>
      </c>
      <c r="B71" s="2574">
        <v>85</v>
      </c>
      <c r="C71" s="2570">
        <f>+I88</f>
        <v>70.587209302325576</v>
      </c>
      <c r="D71" s="2570">
        <v>1</v>
      </c>
      <c r="E71" s="2575">
        <v>74</v>
      </c>
      <c r="F71" s="1831"/>
      <c r="G71" s="1831"/>
      <c r="H71" s="1831"/>
      <c r="I71" s="1831"/>
      <c r="J71" s="1831"/>
      <c r="K71" s="1831"/>
      <c r="L71" s="1831"/>
      <c r="M71" s="1831"/>
      <c r="N71" s="1831"/>
      <c r="O71" s="136"/>
      <c r="Q71" s="10"/>
      <c r="R71" s="12"/>
      <c r="S71" s="13"/>
    </row>
    <row r="72" spans="1:19" s="2714" customFormat="1" ht="12">
      <c r="A72" s="2568">
        <v>43282</v>
      </c>
      <c r="B72" s="2634">
        <v>85</v>
      </c>
      <c r="C72" s="2632">
        <v>73</v>
      </c>
      <c r="D72" s="2632">
        <v>1</v>
      </c>
      <c r="E72" s="2633">
        <v>74</v>
      </c>
      <c r="F72" s="2715"/>
      <c r="G72" s="2715"/>
      <c r="H72" s="2715"/>
      <c r="I72" s="2715"/>
      <c r="J72" s="2715"/>
      <c r="K72" s="2715"/>
      <c r="L72" s="2715"/>
      <c r="M72" s="2715"/>
      <c r="N72" s="2715"/>
      <c r="O72" s="2654"/>
      <c r="Q72" s="2642"/>
      <c r="R72" s="2643"/>
      <c r="S72" s="2644"/>
    </row>
    <row r="73" spans="1:19" s="2714" customFormat="1" ht="12.75" thickBot="1">
      <c r="A73" s="2569">
        <v>43313</v>
      </c>
      <c r="B73" s="2576">
        <v>85</v>
      </c>
      <c r="C73" s="2577"/>
      <c r="D73" s="2577">
        <v>1</v>
      </c>
      <c r="E73" s="2578">
        <v>75</v>
      </c>
      <c r="F73" s="2715"/>
      <c r="G73" s="2715"/>
      <c r="H73" s="2715"/>
      <c r="I73" s="2715"/>
      <c r="J73" s="2715"/>
      <c r="K73" s="2715"/>
      <c r="L73" s="2715"/>
      <c r="M73" s="2715"/>
      <c r="N73" s="2715"/>
      <c r="O73" s="2654"/>
      <c r="Q73" s="2642"/>
      <c r="R73" s="2643"/>
      <c r="S73" s="2644"/>
    </row>
    <row r="74" spans="1:19" ht="12" customHeight="1" thickBot="1">
      <c r="A74" s="165"/>
      <c r="B74" s="154"/>
      <c r="C74" s="166"/>
      <c r="D74" s="154"/>
      <c r="E74" s="167"/>
      <c r="F74" s="154"/>
      <c r="G74" s="154"/>
      <c r="H74" s="154"/>
      <c r="I74" s="154"/>
      <c r="J74" s="154"/>
      <c r="K74" s="154"/>
      <c r="L74" s="154"/>
      <c r="M74" s="154"/>
      <c r="N74" s="154"/>
      <c r="O74" s="155"/>
    </row>
    <row r="75" spans="1:19" ht="27" customHeight="1">
      <c r="A75" s="3316" t="s">
        <v>71</v>
      </c>
      <c r="B75" s="3317"/>
      <c r="C75" s="3318"/>
      <c r="D75" s="3319" t="s">
        <v>226</v>
      </c>
      <c r="E75" s="3320"/>
      <c r="F75" s="3320"/>
      <c r="G75" s="3320"/>
      <c r="H75" s="3320"/>
      <c r="I75" s="3320"/>
      <c r="J75" s="3320"/>
      <c r="K75" s="3320"/>
      <c r="L75" s="3320"/>
      <c r="M75" s="3320"/>
      <c r="N75" s="3320"/>
      <c r="O75" s="3321"/>
    </row>
    <row r="76" spans="1:19" ht="27" customHeight="1" thickBot="1">
      <c r="A76" s="3322" t="s">
        <v>72</v>
      </c>
      <c r="B76" s="3149"/>
      <c r="C76" s="3149"/>
      <c r="D76" s="3323" t="s">
        <v>178</v>
      </c>
      <c r="E76" s="3324"/>
      <c r="F76" s="3324"/>
      <c r="G76" s="3324"/>
      <c r="H76" s="3324"/>
      <c r="I76" s="3324"/>
      <c r="J76" s="3324"/>
      <c r="K76" s="3324"/>
      <c r="L76" s="3324"/>
      <c r="M76" s="3324"/>
      <c r="N76" s="3324"/>
      <c r="O76" s="3325"/>
    </row>
    <row r="77" spans="1:19" s="8" customFormat="1" ht="12" customHeight="1" thickBot="1">
      <c r="A77" s="152"/>
      <c r="B77" s="153"/>
      <c r="C77" s="153"/>
      <c r="D77" s="153"/>
      <c r="E77" s="153"/>
      <c r="F77" s="153"/>
      <c r="G77" s="153"/>
      <c r="H77" s="153"/>
      <c r="I77" s="153"/>
      <c r="J77" s="153"/>
      <c r="K77" s="153"/>
      <c r="L77" s="153"/>
      <c r="M77" s="153"/>
      <c r="N77" s="153"/>
      <c r="O77" s="156"/>
    </row>
    <row r="78" spans="1:19" s="8" customFormat="1" ht="26.25" customHeight="1" thickBot="1">
      <c r="A78" s="3326" t="s">
        <v>114</v>
      </c>
      <c r="B78" s="3327"/>
      <c r="C78" s="3327"/>
      <c r="D78" s="3328" t="s">
        <v>127</v>
      </c>
      <c r="E78" s="3329"/>
      <c r="F78" s="3329"/>
      <c r="G78" s="3329"/>
      <c r="H78" s="3329"/>
      <c r="I78" s="3329"/>
      <c r="J78" s="3329"/>
      <c r="K78" s="3329"/>
      <c r="L78" s="3329"/>
      <c r="M78" s="3329"/>
      <c r="N78" s="3329"/>
      <c r="O78" s="3330"/>
    </row>
    <row r="79" spans="1:19" s="8" customFormat="1" ht="12.75" customHeight="1" thickBot="1">
      <c r="A79"/>
      <c r="B79"/>
      <c r="C79"/>
      <c r="D79"/>
      <c r="E79"/>
      <c r="F79"/>
      <c r="G79"/>
      <c r="H79"/>
      <c r="I79"/>
      <c r="J79"/>
      <c r="K79"/>
      <c r="L79"/>
      <c r="M79"/>
      <c r="N79"/>
      <c r="O79"/>
    </row>
    <row r="80" spans="1:19" s="8" customFormat="1" ht="12.75" customHeight="1" thickBot="1">
      <c r="A80" s="3296" t="s">
        <v>780</v>
      </c>
      <c r="B80" s="3297"/>
      <c r="C80" s="3298"/>
      <c r="D80" s="353" t="s">
        <v>32</v>
      </c>
      <c r="E80" s="353" t="s">
        <v>33</v>
      </c>
      <c r="F80" s="353" t="s">
        <v>34</v>
      </c>
      <c r="G80" s="353" t="s">
        <v>35</v>
      </c>
      <c r="H80" s="353" t="s">
        <v>36</v>
      </c>
      <c r="I80" s="353" t="s">
        <v>37</v>
      </c>
      <c r="J80" s="353" t="s">
        <v>38</v>
      </c>
      <c r="K80" s="353" t="s">
        <v>39</v>
      </c>
      <c r="L80" s="353" t="s">
        <v>40</v>
      </c>
      <c r="M80" s="353" t="s">
        <v>41</v>
      </c>
      <c r="N80" s="353" t="s">
        <v>42</v>
      </c>
      <c r="O80" s="353" t="s">
        <v>43</v>
      </c>
    </row>
    <row r="81" spans="1:15" s="8" customFormat="1" ht="12.75" customHeight="1">
      <c r="A81" s="403" t="s">
        <v>128</v>
      </c>
      <c r="B81" s="404"/>
      <c r="C81" s="405"/>
      <c r="D81" s="1231">
        <f>+'13_CLIENTES'!G93</f>
        <v>11810</v>
      </c>
      <c r="E81" s="1231">
        <f>+'13_CLIENTES'!G94</f>
        <v>11876</v>
      </c>
      <c r="F81" s="1231">
        <f>+'13_CLIENTES'!G95</f>
        <v>11939</v>
      </c>
      <c r="G81" s="1231">
        <f>+'13_CLIENTES'!G96</f>
        <v>12010</v>
      </c>
      <c r="H81" s="1231">
        <v>12063</v>
      </c>
      <c r="I81" s="1231">
        <v>12141</v>
      </c>
      <c r="J81" s="1231">
        <v>12216</v>
      </c>
      <c r="K81" s="1231">
        <v>12271</v>
      </c>
      <c r="L81" s="1231">
        <v>12336</v>
      </c>
      <c r="M81" s="1231"/>
      <c r="N81" s="1231"/>
      <c r="O81" s="1231"/>
    </row>
    <row r="82" spans="1:15" s="8" customFormat="1" ht="16.5" customHeight="1">
      <c r="A82" s="3299" t="s">
        <v>279</v>
      </c>
      <c r="B82" s="3300"/>
      <c r="C82" s="3301"/>
      <c r="D82" s="2760">
        <v>4</v>
      </c>
      <c r="E82" s="2760">
        <v>4</v>
      </c>
      <c r="F82" s="2760">
        <v>4</v>
      </c>
      <c r="G82" s="2761">
        <v>4</v>
      </c>
      <c r="H82" s="2758">
        <v>3</v>
      </c>
      <c r="I82" s="2758">
        <v>3</v>
      </c>
      <c r="J82" s="2758">
        <v>2</v>
      </c>
      <c r="K82" s="2758">
        <v>2</v>
      </c>
      <c r="L82" s="2797">
        <v>3</v>
      </c>
      <c r="M82" s="754"/>
      <c r="N82" s="754"/>
      <c r="O82" s="1265"/>
    </row>
    <row r="83" spans="1:15" s="8" customFormat="1" ht="16.5" customHeight="1">
      <c r="A83" s="3299" t="s">
        <v>277</v>
      </c>
      <c r="B83" s="3300"/>
      <c r="C83" s="3301"/>
      <c r="D83" s="2760">
        <v>35</v>
      </c>
      <c r="E83" s="2760">
        <v>40</v>
      </c>
      <c r="F83" s="2760">
        <v>43</v>
      </c>
      <c r="G83" s="2761">
        <v>41</v>
      </c>
      <c r="H83" s="2759">
        <v>42</v>
      </c>
      <c r="I83" s="2759">
        <v>38</v>
      </c>
      <c r="J83" s="2759">
        <v>41</v>
      </c>
      <c r="K83" s="2759">
        <v>42</v>
      </c>
      <c r="L83" s="2798">
        <v>46</v>
      </c>
      <c r="M83" s="754"/>
      <c r="N83" s="754"/>
      <c r="O83" s="1265"/>
    </row>
    <row r="84" spans="1:15" s="8" customFormat="1" ht="17.25" customHeight="1">
      <c r="A84" s="3292" t="s">
        <v>278</v>
      </c>
      <c r="B84" s="3293"/>
      <c r="C84" s="3293"/>
      <c r="D84" s="2760">
        <v>15</v>
      </c>
      <c r="E84" s="2760">
        <v>15</v>
      </c>
      <c r="F84" s="2760">
        <v>18</v>
      </c>
      <c r="G84" s="2761">
        <v>19</v>
      </c>
      <c r="H84" s="2759">
        <v>24</v>
      </c>
      <c r="I84" s="2759">
        <v>28</v>
      </c>
      <c r="J84" s="2759">
        <v>16</v>
      </c>
      <c r="K84" s="2759">
        <v>19</v>
      </c>
      <c r="L84" s="2797">
        <v>20</v>
      </c>
      <c r="M84" s="754"/>
      <c r="N84" s="754"/>
      <c r="O84" s="1265"/>
    </row>
    <row r="85" spans="1:15" s="8" customFormat="1" ht="15.75" customHeight="1">
      <c r="A85" s="3312" t="s">
        <v>276</v>
      </c>
      <c r="B85" s="3313"/>
      <c r="C85" s="3313"/>
      <c r="D85" s="2760">
        <v>63</v>
      </c>
      <c r="E85" s="2760">
        <v>63</v>
      </c>
      <c r="F85" s="2760">
        <v>63</v>
      </c>
      <c r="G85" s="2761">
        <v>67</v>
      </c>
      <c r="H85" s="2759">
        <v>67</v>
      </c>
      <c r="I85" s="2759">
        <v>65</v>
      </c>
      <c r="J85" s="2759">
        <v>71</v>
      </c>
      <c r="K85" s="2759">
        <v>67</v>
      </c>
      <c r="L85" s="2797">
        <v>67</v>
      </c>
      <c r="M85" s="754"/>
      <c r="N85" s="754"/>
      <c r="O85" s="1265"/>
    </row>
    <row r="86" spans="1:15" s="8" customFormat="1" ht="18" customHeight="1" thickBot="1">
      <c r="A86" s="3294" t="s">
        <v>329</v>
      </c>
      <c r="B86" s="3295"/>
      <c r="C86" s="3295"/>
      <c r="D86" s="1232">
        <v>36</v>
      </c>
      <c r="E86" s="1232">
        <v>37</v>
      </c>
      <c r="F86" s="1232">
        <v>37</v>
      </c>
      <c r="G86" s="2761">
        <v>37</v>
      </c>
      <c r="H86" s="1233">
        <v>37</v>
      </c>
      <c r="I86" s="1233">
        <v>38</v>
      </c>
      <c r="J86" s="1233">
        <v>37</v>
      </c>
      <c r="K86" s="1233">
        <v>37</v>
      </c>
      <c r="L86" s="2798">
        <v>38</v>
      </c>
      <c r="M86" s="756"/>
      <c r="N86" s="756"/>
      <c r="O86" s="1266"/>
    </row>
    <row r="87" spans="1:15" s="8" customFormat="1" ht="12.75" customHeight="1" thickBot="1">
      <c r="A87" s="3314" t="s">
        <v>129</v>
      </c>
      <c r="B87" s="3315"/>
      <c r="C87" s="3315"/>
      <c r="D87" s="948">
        <f t="shared" ref="D87:O87" si="4">SUM(D82:D86)</f>
        <v>153</v>
      </c>
      <c r="E87" s="948">
        <f t="shared" si="4"/>
        <v>159</v>
      </c>
      <c r="F87" s="948">
        <f t="shared" si="4"/>
        <v>165</v>
      </c>
      <c r="G87" s="948">
        <f t="shared" si="4"/>
        <v>168</v>
      </c>
      <c r="H87" s="948">
        <f t="shared" si="4"/>
        <v>173</v>
      </c>
      <c r="I87" s="948">
        <f t="shared" si="4"/>
        <v>172</v>
      </c>
      <c r="J87" s="948">
        <f t="shared" si="4"/>
        <v>167</v>
      </c>
      <c r="K87" s="948">
        <f t="shared" si="4"/>
        <v>167</v>
      </c>
      <c r="L87" s="948">
        <f t="shared" si="4"/>
        <v>174</v>
      </c>
      <c r="M87" s="948">
        <f t="shared" si="4"/>
        <v>0</v>
      </c>
      <c r="N87" s="948">
        <f t="shared" si="4"/>
        <v>0</v>
      </c>
      <c r="O87" s="948">
        <f t="shared" si="4"/>
        <v>0</v>
      </c>
    </row>
    <row r="88" spans="1:15" s="8" customFormat="1" ht="12.75" customHeight="1" thickBot="1">
      <c r="A88" s="412" t="s">
        <v>126</v>
      </c>
      <c r="B88" s="413"/>
      <c r="C88" s="414"/>
      <c r="D88" s="949">
        <f>D81/D87</f>
        <v>77.189542483660134</v>
      </c>
      <c r="E88" s="949">
        <f>E81/E87</f>
        <v>74.691823899371073</v>
      </c>
      <c r="F88" s="949">
        <f>F81/F87</f>
        <v>72.357575757575759</v>
      </c>
      <c r="G88" s="949">
        <f>G81/G87</f>
        <v>71.488095238095241</v>
      </c>
      <c r="H88" s="949">
        <f>H81/H87</f>
        <v>69.728323699421964</v>
      </c>
      <c r="I88" s="949">
        <f>+I81/I87</f>
        <v>70.587209302325576</v>
      </c>
      <c r="J88" s="949">
        <f>+J81/J87</f>
        <v>73.149700598802397</v>
      </c>
      <c r="K88" s="949">
        <f>+K81/K87</f>
        <v>73.47904191616766</v>
      </c>
      <c r="L88" s="949">
        <f>+L81/L87</f>
        <v>70.896551724137936</v>
      </c>
      <c r="M88" s="949"/>
      <c r="N88" s="949"/>
      <c r="O88" s="949"/>
    </row>
    <row r="89" spans="1:15" s="8" customFormat="1" ht="12.75" customHeight="1">
      <c r="A89"/>
      <c r="B89"/>
      <c r="C89"/>
      <c r="D89"/>
      <c r="E89"/>
      <c r="F89"/>
      <c r="G89"/>
      <c r="H89"/>
      <c r="I89"/>
      <c r="J89"/>
      <c r="K89"/>
      <c r="L89"/>
      <c r="M89"/>
      <c r="N89"/>
      <c r="O89"/>
    </row>
    <row r="90" spans="1:15" s="8" customFormat="1" ht="12.75" customHeight="1" thickBot="1">
      <c r="A90"/>
      <c r="B90"/>
      <c r="C90"/>
      <c r="D90"/>
      <c r="E90"/>
      <c r="F90"/>
      <c r="G90"/>
      <c r="H90"/>
      <c r="I90"/>
      <c r="J90"/>
      <c r="K90"/>
      <c r="L90"/>
      <c r="M90"/>
      <c r="N90"/>
      <c r="O90"/>
    </row>
    <row r="91" spans="1:15" s="8" customFormat="1" ht="16.5" customHeight="1" thickBot="1">
      <c r="A91" s="3296" t="s">
        <v>637</v>
      </c>
      <c r="B91" s="3297"/>
      <c r="C91" s="3298"/>
      <c r="D91" s="353" t="s">
        <v>32</v>
      </c>
      <c r="E91" s="353" t="s">
        <v>33</v>
      </c>
      <c r="F91" s="353" t="s">
        <v>34</v>
      </c>
      <c r="G91" s="353" t="s">
        <v>35</v>
      </c>
      <c r="H91" s="353" t="s">
        <v>36</v>
      </c>
      <c r="I91" s="353" t="s">
        <v>37</v>
      </c>
      <c r="J91" s="353" t="s">
        <v>38</v>
      </c>
      <c r="K91" s="353" t="s">
        <v>39</v>
      </c>
      <c r="L91" s="353" t="s">
        <v>40</v>
      </c>
      <c r="M91" s="353" t="s">
        <v>41</v>
      </c>
      <c r="N91" s="353" t="s">
        <v>42</v>
      </c>
      <c r="O91" s="353" t="s">
        <v>43</v>
      </c>
    </row>
    <row r="92" spans="1:15" s="8" customFormat="1" ht="17.25" customHeight="1">
      <c r="A92" s="403" t="s">
        <v>128</v>
      </c>
      <c r="B92" s="404"/>
      <c r="C92" s="405"/>
      <c r="D92" s="1231">
        <v>11332</v>
      </c>
      <c r="E92" s="1231">
        <v>11366</v>
      </c>
      <c r="F92" s="1231">
        <v>11387</v>
      </c>
      <c r="G92" s="1231">
        <v>11432</v>
      </c>
      <c r="H92" s="1231">
        <v>11458</v>
      </c>
      <c r="I92" s="1231">
        <v>11534</v>
      </c>
      <c r="J92" s="1231">
        <v>11560</v>
      </c>
      <c r="K92" s="1231">
        <v>11590</v>
      </c>
      <c r="L92" s="1231">
        <v>11645</v>
      </c>
      <c r="M92" s="1231">
        <v>11688</v>
      </c>
      <c r="N92" s="1231">
        <v>11740</v>
      </c>
      <c r="O92" s="1231">
        <v>11744</v>
      </c>
    </row>
    <row r="93" spans="1:15" s="8" customFormat="1" ht="17.25" customHeight="1">
      <c r="A93" s="3299" t="s">
        <v>279</v>
      </c>
      <c r="B93" s="3300"/>
      <c r="C93" s="3301"/>
      <c r="D93" s="294">
        <v>3</v>
      </c>
      <c r="E93" s="294">
        <v>3</v>
      </c>
      <c r="F93" s="294">
        <v>3</v>
      </c>
      <c r="G93" s="121">
        <v>4</v>
      </c>
      <c r="H93" s="121">
        <v>4</v>
      </c>
      <c r="I93" s="121">
        <v>4</v>
      </c>
      <c r="J93" s="121">
        <v>4</v>
      </c>
      <c r="K93" s="121">
        <v>4</v>
      </c>
      <c r="L93" s="1231">
        <v>4</v>
      </c>
      <c r="M93" s="754">
        <v>4</v>
      </c>
      <c r="N93" s="754">
        <v>4</v>
      </c>
      <c r="O93" s="1265">
        <v>4</v>
      </c>
    </row>
    <row r="94" spans="1:15" s="8" customFormat="1" ht="17.25" customHeight="1">
      <c r="A94" s="3299" t="s">
        <v>277</v>
      </c>
      <c r="B94" s="3300"/>
      <c r="C94" s="3301"/>
      <c r="D94" s="294">
        <v>19</v>
      </c>
      <c r="E94" s="294">
        <v>24</v>
      </c>
      <c r="F94" s="294">
        <v>24</v>
      </c>
      <c r="G94" s="283">
        <v>23</v>
      </c>
      <c r="H94" s="283">
        <v>26</v>
      </c>
      <c r="I94" s="283">
        <v>31</v>
      </c>
      <c r="J94" s="283">
        <v>33</v>
      </c>
      <c r="K94" s="283">
        <v>33</v>
      </c>
      <c r="L94" s="121">
        <v>33</v>
      </c>
      <c r="M94" s="754">
        <v>37</v>
      </c>
      <c r="N94" s="754">
        <v>37</v>
      </c>
      <c r="O94" s="1265">
        <v>37</v>
      </c>
    </row>
    <row r="95" spans="1:15" s="8" customFormat="1" ht="17.25" customHeight="1">
      <c r="A95" s="3292" t="s">
        <v>278</v>
      </c>
      <c r="B95" s="3293"/>
      <c r="C95" s="3293"/>
      <c r="D95" s="294">
        <v>9</v>
      </c>
      <c r="E95" s="294">
        <v>10</v>
      </c>
      <c r="F95" s="294">
        <v>14</v>
      </c>
      <c r="G95" s="283">
        <v>18</v>
      </c>
      <c r="H95" s="283">
        <v>18</v>
      </c>
      <c r="I95" s="283">
        <v>19</v>
      </c>
      <c r="J95" s="283">
        <v>18</v>
      </c>
      <c r="K95" s="283">
        <v>16</v>
      </c>
      <c r="L95" s="283">
        <v>17</v>
      </c>
      <c r="M95" s="754">
        <v>17</v>
      </c>
      <c r="N95" s="754">
        <v>18</v>
      </c>
      <c r="O95" s="1265">
        <v>18</v>
      </c>
    </row>
    <row r="96" spans="1:15" s="8" customFormat="1" ht="17.25" customHeight="1">
      <c r="A96" s="3312" t="s">
        <v>276</v>
      </c>
      <c r="B96" s="3313"/>
      <c r="C96" s="3313"/>
      <c r="D96" s="294">
        <v>64</v>
      </c>
      <c r="E96" s="294">
        <v>64</v>
      </c>
      <c r="F96" s="294">
        <v>64</v>
      </c>
      <c r="G96" s="283">
        <v>64</v>
      </c>
      <c r="H96" s="283">
        <v>65</v>
      </c>
      <c r="I96" s="283">
        <v>65</v>
      </c>
      <c r="J96" s="283">
        <v>65</v>
      </c>
      <c r="K96" s="283">
        <v>64</v>
      </c>
      <c r="L96" s="283">
        <v>64</v>
      </c>
      <c r="M96" s="754">
        <v>64</v>
      </c>
      <c r="N96" s="754">
        <v>64</v>
      </c>
      <c r="O96" s="1265">
        <v>64</v>
      </c>
    </row>
    <row r="97" spans="1:58" s="8" customFormat="1" ht="17.25" customHeight="1" thickBot="1">
      <c r="A97" s="3294" t="s">
        <v>329</v>
      </c>
      <c r="B97" s="3295"/>
      <c r="C97" s="3295"/>
      <c r="D97" s="1232">
        <v>34</v>
      </c>
      <c r="E97" s="1232">
        <v>34</v>
      </c>
      <c r="F97" s="1232">
        <v>34</v>
      </c>
      <c r="G97" s="1233">
        <v>35</v>
      </c>
      <c r="H97" s="1233">
        <v>36</v>
      </c>
      <c r="I97" s="1233">
        <v>36</v>
      </c>
      <c r="J97" s="1233">
        <v>37</v>
      </c>
      <c r="K97" s="1233">
        <v>38</v>
      </c>
      <c r="L97" s="1233">
        <v>38</v>
      </c>
      <c r="M97" s="756">
        <v>37</v>
      </c>
      <c r="N97" s="756">
        <v>36</v>
      </c>
      <c r="O97" s="1266">
        <v>37</v>
      </c>
    </row>
    <row r="98" spans="1:58" s="8" customFormat="1" ht="17.25" customHeight="1" thickBot="1">
      <c r="A98" s="3314" t="s">
        <v>129</v>
      </c>
      <c r="B98" s="3315"/>
      <c r="C98" s="3315"/>
      <c r="D98" s="948">
        <f t="shared" ref="D98:O98" si="5">SUM(D93:D97)</f>
        <v>129</v>
      </c>
      <c r="E98" s="948">
        <f t="shared" si="5"/>
        <v>135</v>
      </c>
      <c r="F98" s="948">
        <f t="shared" si="5"/>
        <v>139</v>
      </c>
      <c r="G98" s="948">
        <f t="shared" si="5"/>
        <v>144</v>
      </c>
      <c r="H98" s="948">
        <f t="shared" si="5"/>
        <v>149</v>
      </c>
      <c r="I98" s="948">
        <f t="shared" si="5"/>
        <v>155</v>
      </c>
      <c r="J98" s="948">
        <f t="shared" si="5"/>
        <v>157</v>
      </c>
      <c r="K98" s="948">
        <f t="shared" si="5"/>
        <v>155</v>
      </c>
      <c r="L98" s="948">
        <f t="shared" si="5"/>
        <v>156</v>
      </c>
      <c r="M98" s="948">
        <f t="shared" si="5"/>
        <v>159</v>
      </c>
      <c r="N98" s="948">
        <f t="shared" si="5"/>
        <v>159</v>
      </c>
      <c r="O98" s="948">
        <f t="shared" si="5"/>
        <v>160</v>
      </c>
    </row>
    <row r="99" spans="1:58" s="8" customFormat="1" ht="17.25" customHeight="1" thickBot="1">
      <c r="A99" s="412" t="s">
        <v>126</v>
      </c>
      <c r="B99" s="413"/>
      <c r="C99" s="414"/>
      <c r="D99" s="949">
        <f t="shared" ref="D99:I99" si="6">D92/D98</f>
        <v>87.844961240310084</v>
      </c>
      <c r="E99" s="949">
        <f t="shared" si="6"/>
        <v>84.19259259259259</v>
      </c>
      <c r="F99" s="949">
        <f t="shared" si="6"/>
        <v>81.920863309352512</v>
      </c>
      <c r="G99" s="949">
        <f t="shared" si="6"/>
        <v>79.388888888888886</v>
      </c>
      <c r="H99" s="949">
        <f t="shared" si="6"/>
        <v>76.899328859060404</v>
      </c>
      <c r="I99" s="949">
        <f t="shared" si="6"/>
        <v>74.412903225806446</v>
      </c>
      <c r="J99" s="949">
        <f t="shared" ref="J99:O99" si="7">J92/J98</f>
        <v>73.630573248407643</v>
      </c>
      <c r="K99" s="949">
        <f t="shared" si="7"/>
        <v>74.774193548387103</v>
      </c>
      <c r="L99" s="949">
        <f>L92/L98</f>
        <v>74.647435897435898</v>
      </c>
      <c r="M99" s="949">
        <f t="shared" si="7"/>
        <v>73.509433962264154</v>
      </c>
      <c r="N99" s="949">
        <f t="shared" si="7"/>
        <v>73.836477987421389</v>
      </c>
      <c r="O99" s="949">
        <f t="shared" si="7"/>
        <v>73.400000000000006</v>
      </c>
    </row>
    <row r="100" spans="1:58" s="8" customFormat="1" ht="17.25" customHeight="1">
      <c r="A100"/>
      <c r="B100"/>
      <c r="C100"/>
      <c r="D100"/>
      <c r="E100"/>
      <c r="F100"/>
      <c r="G100"/>
      <c r="H100"/>
      <c r="I100"/>
      <c r="J100"/>
      <c r="K100"/>
      <c r="L100"/>
      <c r="M100"/>
      <c r="N100"/>
      <c r="O100"/>
    </row>
    <row r="101" spans="1:58" s="8" customFormat="1" ht="17.25" customHeight="1" thickBot="1">
      <c r="A101"/>
      <c r="B101"/>
      <c r="C101"/>
      <c r="D101"/>
      <c r="E101"/>
      <c r="F101"/>
      <c r="G101"/>
      <c r="H101"/>
      <c r="I101"/>
      <c r="J101"/>
      <c r="K101"/>
      <c r="L101"/>
      <c r="M101"/>
      <c r="N101"/>
      <c r="O101"/>
    </row>
    <row r="102" spans="1:58" ht="13.5" customHeight="1" thickBot="1">
      <c r="A102" s="3296" t="s">
        <v>516</v>
      </c>
      <c r="B102" s="3297"/>
      <c r="C102" s="3298"/>
      <c r="D102" s="157" t="s">
        <v>32</v>
      </c>
      <c r="E102" s="157" t="s">
        <v>33</v>
      </c>
      <c r="F102" s="157" t="s">
        <v>34</v>
      </c>
      <c r="G102" s="157" t="s">
        <v>35</v>
      </c>
      <c r="H102" s="157" t="s">
        <v>36</v>
      </c>
      <c r="I102" s="157" t="s">
        <v>37</v>
      </c>
      <c r="J102" s="157" t="s">
        <v>38</v>
      </c>
      <c r="K102" s="157" t="s">
        <v>39</v>
      </c>
      <c r="L102" s="157" t="s">
        <v>40</v>
      </c>
      <c r="M102" s="157" t="s">
        <v>41</v>
      </c>
      <c r="N102" s="157" t="s">
        <v>42</v>
      </c>
      <c r="O102" s="157" t="s">
        <v>43</v>
      </c>
    </row>
    <row r="103" spans="1:58" ht="17.100000000000001" customHeight="1">
      <c r="A103" s="403" t="s">
        <v>128</v>
      </c>
      <c r="B103" s="404"/>
      <c r="C103" s="405"/>
      <c r="D103" s="406">
        <v>10792</v>
      </c>
      <c r="E103" s="407">
        <v>10827</v>
      </c>
      <c r="F103" s="407">
        <v>10859</v>
      </c>
      <c r="G103" s="407">
        <v>10903</v>
      </c>
      <c r="H103" s="407">
        <v>10971</v>
      </c>
      <c r="I103" s="407">
        <v>11022</v>
      </c>
      <c r="J103" s="407">
        <v>11071</v>
      </c>
      <c r="K103" s="407">
        <v>11114</v>
      </c>
      <c r="L103" s="407">
        <v>11133</v>
      </c>
      <c r="M103" s="407">
        <v>11164</v>
      </c>
      <c r="N103" s="407">
        <v>11212</v>
      </c>
      <c r="O103" s="407">
        <v>11234</v>
      </c>
    </row>
    <row r="104" spans="1:58" s="14" customFormat="1" ht="17.100000000000001" customHeight="1">
      <c r="A104" s="3299" t="s">
        <v>279</v>
      </c>
      <c r="B104" s="3300"/>
      <c r="C104" s="3301"/>
      <c r="D104" s="121">
        <v>4</v>
      </c>
      <c r="E104" s="121">
        <v>3</v>
      </c>
      <c r="F104" s="121">
        <v>3</v>
      </c>
      <c r="G104" s="121">
        <v>3</v>
      </c>
      <c r="H104" s="121">
        <v>3</v>
      </c>
      <c r="I104" s="121">
        <v>3</v>
      </c>
      <c r="J104" s="121">
        <v>3</v>
      </c>
      <c r="K104" s="121">
        <v>3</v>
      </c>
      <c r="L104" s="121">
        <v>3</v>
      </c>
      <c r="M104" s="754">
        <v>3</v>
      </c>
      <c r="N104" s="754">
        <v>3</v>
      </c>
      <c r="O104" s="754">
        <v>3</v>
      </c>
    </row>
    <row r="105" spans="1:58" s="14" customFormat="1" ht="17.100000000000001" customHeight="1">
      <c r="A105" s="3299" t="s">
        <v>277</v>
      </c>
      <c r="B105" s="3300"/>
      <c r="C105" s="3301"/>
      <c r="D105" s="283">
        <v>13</v>
      </c>
      <c r="E105" s="283">
        <v>15</v>
      </c>
      <c r="F105" s="283">
        <v>18</v>
      </c>
      <c r="G105" s="283">
        <v>17</v>
      </c>
      <c r="H105" s="283">
        <v>18</v>
      </c>
      <c r="I105" s="283">
        <v>16</v>
      </c>
      <c r="J105" s="283">
        <v>15</v>
      </c>
      <c r="K105" s="283">
        <v>16</v>
      </c>
      <c r="L105" s="283">
        <v>20</v>
      </c>
      <c r="M105" s="754">
        <v>17</v>
      </c>
      <c r="N105" s="754">
        <v>17</v>
      </c>
      <c r="O105" s="754">
        <v>18</v>
      </c>
    </row>
    <row r="106" spans="1:58" s="14" customFormat="1" ht="17.100000000000001" customHeight="1">
      <c r="A106" s="3292" t="s">
        <v>278</v>
      </c>
      <c r="B106" s="3293"/>
      <c r="C106" s="3293"/>
      <c r="D106" s="283">
        <v>13</v>
      </c>
      <c r="E106" s="283">
        <v>5</v>
      </c>
      <c r="F106" s="283">
        <v>9</v>
      </c>
      <c r="G106" s="283">
        <v>3</v>
      </c>
      <c r="H106" s="283">
        <v>3</v>
      </c>
      <c r="I106" s="283">
        <v>3</v>
      </c>
      <c r="J106" s="283">
        <v>3</v>
      </c>
      <c r="K106" s="283">
        <v>5</v>
      </c>
      <c r="L106" s="283">
        <v>4</v>
      </c>
      <c r="M106" s="754">
        <v>5</v>
      </c>
      <c r="N106" s="754">
        <v>6</v>
      </c>
      <c r="O106" s="754">
        <v>10</v>
      </c>
    </row>
    <row r="107" spans="1:58" s="285" customFormat="1" ht="17.100000000000001" customHeight="1">
      <c r="A107" s="3312" t="s">
        <v>276</v>
      </c>
      <c r="B107" s="3313"/>
      <c r="C107" s="3313"/>
      <c r="D107" s="283">
        <v>56</v>
      </c>
      <c r="E107" s="283">
        <v>61</v>
      </c>
      <c r="F107" s="283">
        <v>61</v>
      </c>
      <c r="G107" s="283">
        <v>67</v>
      </c>
      <c r="H107" s="283">
        <v>67</v>
      </c>
      <c r="I107" s="283">
        <v>66</v>
      </c>
      <c r="J107" s="283">
        <v>66</v>
      </c>
      <c r="K107" s="283">
        <v>66</v>
      </c>
      <c r="L107" s="283">
        <v>66</v>
      </c>
      <c r="M107" s="754">
        <v>65</v>
      </c>
      <c r="N107" s="754">
        <v>64</v>
      </c>
      <c r="O107" s="754">
        <v>64</v>
      </c>
    </row>
    <row r="108" spans="1:58" s="14" customFormat="1" ht="17.100000000000001" customHeight="1" thickBot="1">
      <c r="A108" s="3294" t="s">
        <v>329</v>
      </c>
      <c r="B108" s="3295"/>
      <c r="C108" s="3295"/>
      <c r="D108" s="398">
        <v>33</v>
      </c>
      <c r="E108" s="398">
        <v>33</v>
      </c>
      <c r="F108" s="398">
        <v>33</v>
      </c>
      <c r="G108" s="398">
        <v>33</v>
      </c>
      <c r="H108" s="398">
        <v>33</v>
      </c>
      <c r="I108" s="398">
        <v>34</v>
      </c>
      <c r="J108" s="398">
        <v>34</v>
      </c>
      <c r="K108" s="398">
        <v>34</v>
      </c>
      <c r="L108" s="398">
        <v>34</v>
      </c>
      <c r="M108" s="756">
        <v>34</v>
      </c>
      <c r="N108" s="756">
        <v>34</v>
      </c>
      <c r="O108" s="756">
        <v>34</v>
      </c>
      <c r="BF108" s="103">
        <v>0</v>
      </c>
    </row>
    <row r="109" spans="1:58" s="359" customFormat="1" ht="17.100000000000001" customHeight="1" thickBot="1">
      <c r="A109" s="3305" t="s">
        <v>129</v>
      </c>
      <c r="B109" s="3306"/>
      <c r="C109" s="3307"/>
      <c r="D109" s="401">
        <f>SUM(D104:D108)</f>
        <v>119</v>
      </c>
      <c r="E109" s="401">
        <f t="shared" ref="E109:J109" si="8">SUM(E104:E108)</f>
        <v>117</v>
      </c>
      <c r="F109" s="401">
        <f t="shared" si="8"/>
        <v>124</v>
      </c>
      <c r="G109" s="401">
        <f t="shared" si="8"/>
        <v>123</v>
      </c>
      <c r="H109" s="401">
        <f t="shared" si="8"/>
        <v>124</v>
      </c>
      <c r="I109" s="401">
        <f t="shared" si="8"/>
        <v>122</v>
      </c>
      <c r="J109" s="401">
        <f t="shared" si="8"/>
        <v>121</v>
      </c>
      <c r="K109" s="401">
        <f>SUM(K104:K108)</f>
        <v>124</v>
      </c>
      <c r="L109" s="755">
        <f>SUM(L104:L108)</f>
        <v>127</v>
      </c>
      <c r="M109" s="755">
        <f>SUM(M104:M108)</f>
        <v>124</v>
      </c>
      <c r="N109" s="755">
        <f>SUM(N104:N108)</f>
        <v>124</v>
      </c>
      <c r="O109" s="401">
        <f>SUM(O104:O108)</f>
        <v>129</v>
      </c>
    </row>
    <row r="110" spans="1:58" ht="17.100000000000001" customHeight="1" thickBot="1">
      <c r="A110" s="412" t="s">
        <v>126</v>
      </c>
      <c r="B110" s="413"/>
      <c r="C110" s="414"/>
      <c r="D110" s="415">
        <f>+D103/D109</f>
        <v>90.689075630252105</v>
      </c>
      <c r="E110" s="415">
        <f t="shared" ref="E110:L110" si="9">+E103/E109</f>
        <v>92.538461538461533</v>
      </c>
      <c r="F110" s="415">
        <f t="shared" si="9"/>
        <v>87.572580645161295</v>
      </c>
      <c r="G110" s="415">
        <f t="shared" si="9"/>
        <v>88.642276422764226</v>
      </c>
      <c r="H110" s="415">
        <f t="shared" si="9"/>
        <v>88.475806451612897</v>
      </c>
      <c r="I110" s="415">
        <f t="shared" si="9"/>
        <v>90.344262295081961</v>
      </c>
      <c r="J110" s="415">
        <f t="shared" si="9"/>
        <v>91.495867768595048</v>
      </c>
      <c r="K110" s="415">
        <f t="shared" si="9"/>
        <v>89.629032258064512</v>
      </c>
      <c r="L110" s="415">
        <f t="shared" si="9"/>
        <v>87.661417322834652</v>
      </c>
      <c r="M110" s="415">
        <f>+M103/M109</f>
        <v>90.032258064516128</v>
      </c>
      <c r="N110" s="415">
        <f>+N103/N109</f>
        <v>90.41935483870968</v>
      </c>
      <c r="O110" s="415">
        <f>+O103/O109</f>
        <v>87.085271317829452</v>
      </c>
      <c r="P110" s="15"/>
      <c r="Q110" s="15"/>
    </row>
    <row r="111" spans="1:58" ht="17.100000000000001" customHeight="1">
      <c r="A111" s="8"/>
      <c r="B111" s="8"/>
      <c r="C111" s="8"/>
      <c r="D111" s="8"/>
      <c r="E111" s="8"/>
      <c r="F111" s="8"/>
      <c r="G111" s="8"/>
      <c r="H111" s="8"/>
      <c r="J111" s="8"/>
      <c r="K111" s="8"/>
      <c r="L111" s="8"/>
      <c r="M111" s="8"/>
      <c r="N111" s="8"/>
      <c r="O111" s="8"/>
      <c r="P111" s="8"/>
      <c r="Q111" s="12"/>
    </row>
    <row r="112" spans="1:58" ht="17.100000000000001" hidden="1" customHeight="1" thickBot="1">
      <c r="A112" s="3296" t="s">
        <v>388</v>
      </c>
      <c r="B112" s="3297"/>
      <c r="C112" s="3298"/>
      <c r="D112" s="157" t="s">
        <v>32</v>
      </c>
      <c r="E112" s="157" t="s">
        <v>33</v>
      </c>
      <c r="F112" s="157" t="s">
        <v>34</v>
      </c>
      <c r="G112" s="157" t="s">
        <v>35</v>
      </c>
      <c r="H112" s="157" t="s">
        <v>36</v>
      </c>
      <c r="I112" s="157" t="s">
        <v>37</v>
      </c>
      <c r="J112" s="157" t="s">
        <v>38</v>
      </c>
      <c r="K112" s="157" t="s">
        <v>39</v>
      </c>
      <c r="L112" s="157" t="s">
        <v>40</v>
      </c>
      <c r="M112" s="157" t="s">
        <v>41</v>
      </c>
      <c r="N112" s="157" t="s">
        <v>42</v>
      </c>
      <c r="O112" s="158" t="s">
        <v>43</v>
      </c>
    </row>
    <row r="113" spans="1:58" ht="17.100000000000001" hidden="1" customHeight="1">
      <c r="A113" s="171" t="s">
        <v>128</v>
      </c>
      <c r="B113" s="172"/>
      <c r="C113" s="173"/>
      <c r="D113" s="168">
        <v>10317</v>
      </c>
      <c r="E113" s="169">
        <v>10366</v>
      </c>
      <c r="F113" s="169">
        <v>10402</v>
      </c>
      <c r="G113" s="169">
        <v>10411</v>
      </c>
      <c r="H113" s="169">
        <v>10475</v>
      </c>
      <c r="I113" s="169">
        <v>10504</v>
      </c>
      <c r="J113" s="169">
        <v>10541</v>
      </c>
      <c r="K113" s="169">
        <v>10621</v>
      </c>
      <c r="L113" s="169">
        <v>10643</v>
      </c>
      <c r="M113" s="169">
        <v>10690</v>
      </c>
      <c r="N113" s="169">
        <v>10730</v>
      </c>
      <c r="O113" s="170">
        <v>10788</v>
      </c>
    </row>
    <row r="114" spans="1:58" ht="17.100000000000001" hidden="1" customHeight="1">
      <c r="A114" s="3308" t="s">
        <v>279</v>
      </c>
      <c r="B114" s="3300"/>
      <c r="C114" s="3301"/>
      <c r="D114" s="121">
        <v>5</v>
      </c>
      <c r="E114" s="121">
        <v>5</v>
      </c>
      <c r="F114" s="121">
        <v>5</v>
      </c>
      <c r="G114" s="121">
        <v>5</v>
      </c>
      <c r="H114" s="121">
        <v>5</v>
      </c>
      <c r="I114" s="121">
        <v>5</v>
      </c>
      <c r="J114" s="121">
        <v>5</v>
      </c>
      <c r="K114" s="294">
        <v>5</v>
      </c>
      <c r="L114" s="121">
        <v>5</v>
      </c>
      <c r="M114" s="121">
        <v>5</v>
      </c>
      <c r="N114" s="121">
        <v>5</v>
      </c>
      <c r="O114" s="138">
        <v>5</v>
      </c>
    </row>
    <row r="115" spans="1:58" ht="17.100000000000001" hidden="1" customHeight="1">
      <c r="A115" s="3308" t="s">
        <v>391</v>
      </c>
      <c r="B115" s="3300"/>
      <c r="C115" s="3301"/>
      <c r="D115" s="283">
        <f>19+21</f>
        <v>40</v>
      </c>
      <c r="E115" s="283">
        <v>45</v>
      </c>
      <c r="F115" s="283">
        <v>46</v>
      </c>
      <c r="G115" s="283">
        <v>49</v>
      </c>
      <c r="H115" s="283">
        <v>48</v>
      </c>
      <c r="I115" s="283">
        <v>51</v>
      </c>
      <c r="J115" s="283">
        <v>47</v>
      </c>
      <c r="K115" s="294">
        <v>48</v>
      </c>
      <c r="L115" s="283">
        <v>50</v>
      </c>
      <c r="M115" s="121">
        <v>50</v>
      </c>
      <c r="N115" s="121">
        <v>48</v>
      </c>
      <c r="O115" s="138">
        <v>48</v>
      </c>
    </row>
    <row r="116" spans="1:58" ht="17.100000000000001" hidden="1" customHeight="1">
      <c r="A116" s="3309" t="s">
        <v>392</v>
      </c>
      <c r="B116" s="3310"/>
      <c r="C116" s="3311"/>
      <c r="D116" s="283">
        <v>48</v>
      </c>
      <c r="E116" s="283">
        <v>48</v>
      </c>
      <c r="F116" s="283">
        <v>48</v>
      </c>
      <c r="G116" s="283">
        <v>48</v>
      </c>
      <c r="H116" s="283">
        <v>48</v>
      </c>
      <c r="I116" s="283">
        <v>48</v>
      </c>
      <c r="J116" s="283">
        <v>48</v>
      </c>
      <c r="K116" s="294">
        <v>48</v>
      </c>
      <c r="L116" s="283">
        <v>47</v>
      </c>
      <c r="M116" s="283">
        <v>47</v>
      </c>
      <c r="N116" s="283">
        <v>47</v>
      </c>
      <c r="O116" s="284">
        <v>47</v>
      </c>
    </row>
    <row r="117" spans="1:58" ht="17.100000000000001" hidden="1" customHeight="1">
      <c r="A117" s="3308" t="s">
        <v>393</v>
      </c>
      <c r="B117" s="3300"/>
      <c r="C117" s="3301"/>
      <c r="D117" s="286">
        <v>29</v>
      </c>
      <c r="E117" s="286">
        <v>29</v>
      </c>
      <c r="F117" s="286">
        <v>31</v>
      </c>
      <c r="G117" s="286">
        <v>32</v>
      </c>
      <c r="H117" s="286">
        <v>32</v>
      </c>
      <c r="I117" s="286">
        <v>32</v>
      </c>
      <c r="J117" s="286">
        <v>32</v>
      </c>
      <c r="K117" s="295">
        <v>32</v>
      </c>
      <c r="L117" s="286">
        <v>32</v>
      </c>
      <c r="M117" s="282">
        <v>32</v>
      </c>
      <c r="N117" s="282">
        <v>32</v>
      </c>
      <c r="O117" s="138">
        <v>32</v>
      </c>
    </row>
    <row r="118" spans="1:58" ht="17.100000000000001" hidden="1" customHeight="1">
      <c r="A118" s="3302" t="s">
        <v>129</v>
      </c>
      <c r="B118" s="3303"/>
      <c r="C118" s="3304"/>
      <c r="D118" s="358">
        <f t="shared" ref="D118:O118" si="10">SUM(D114:D117)</f>
        <v>122</v>
      </c>
      <c r="E118" s="358">
        <f t="shared" si="10"/>
        <v>127</v>
      </c>
      <c r="F118" s="358">
        <f t="shared" si="10"/>
        <v>130</v>
      </c>
      <c r="G118" s="358">
        <f t="shared" si="10"/>
        <v>134</v>
      </c>
      <c r="H118" s="358">
        <f t="shared" si="10"/>
        <v>133</v>
      </c>
      <c r="I118" s="358">
        <f t="shared" si="10"/>
        <v>136</v>
      </c>
      <c r="J118" s="358">
        <f t="shared" si="10"/>
        <v>132</v>
      </c>
      <c r="K118" s="358">
        <f t="shared" si="10"/>
        <v>133</v>
      </c>
      <c r="L118" s="358">
        <f t="shared" si="10"/>
        <v>134</v>
      </c>
      <c r="M118" s="358">
        <f t="shared" si="10"/>
        <v>134</v>
      </c>
      <c r="N118" s="358">
        <f t="shared" si="10"/>
        <v>132</v>
      </c>
      <c r="O118" s="358">
        <f t="shared" si="10"/>
        <v>132</v>
      </c>
    </row>
    <row r="119" spans="1:58" ht="17.100000000000001" hidden="1" customHeight="1" thickBot="1">
      <c r="A119" s="174" t="s">
        <v>126</v>
      </c>
      <c r="B119" s="175"/>
      <c r="C119" s="176"/>
      <c r="D119" s="139">
        <f>D113/D118</f>
        <v>84.56557377049181</v>
      </c>
      <c r="E119" s="139">
        <f>E113/E118</f>
        <v>81.622047244094489</v>
      </c>
      <c r="F119" s="139">
        <f t="shared" ref="F119:K119" si="11">F113/F118</f>
        <v>80.015384615384619</v>
      </c>
      <c r="G119" s="139">
        <f t="shared" si="11"/>
        <v>77.694029850746276</v>
      </c>
      <c r="H119" s="139">
        <f t="shared" si="11"/>
        <v>78.759398496240607</v>
      </c>
      <c r="I119" s="139">
        <f t="shared" si="11"/>
        <v>77.235294117647058</v>
      </c>
      <c r="J119" s="139">
        <f t="shared" si="11"/>
        <v>79.856060606060609</v>
      </c>
      <c r="K119" s="139">
        <f t="shared" si="11"/>
        <v>79.857142857142861</v>
      </c>
      <c r="L119" s="139">
        <f>L113/L118</f>
        <v>79.425373134328353</v>
      </c>
      <c r="M119" s="139">
        <f>M113/M118</f>
        <v>79.776119402985074</v>
      </c>
      <c r="N119" s="139">
        <f>N113/N118</f>
        <v>81.287878787878782</v>
      </c>
      <c r="O119" s="139">
        <f>O113/O118</f>
        <v>81.727272727272734</v>
      </c>
    </row>
    <row r="120" spans="1:58" ht="17.100000000000001" hidden="1" customHeight="1" thickTop="1" thickBot="1"/>
    <row r="121" spans="1:58" ht="13.5" hidden="1" customHeight="1" thickBot="1">
      <c r="A121" s="3296" t="s">
        <v>196</v>
      </c>
      <c r="B121" s="3297"/>
      <c r="C121" s="3298"/>
      <c r="D121" s="157" t="s">
        <v>32</v>
      </c>
      <c r="E121" s="157" t="s">
        <v>33</v>
      </c>
      <c r="F121" s="157" t="s">
        <v>34</v>
      </c>
      <c r="G121" s="157" t="s">
        <v>35</v>
      </c>
      <c r="H121" s="157" t="s">
        <v>36</v>
      </c>
      <c r="I121" s="157" t="s">
        <v>37</v>
      </c>
      <c r="J121" s="157" t="s">
        <v>38</v>
      </c>
      <c r="K121" s="157" t="s">
        <v>39</v>
      </c>
      <c r="L121" s="157" t="s">
        <v>40</v>
      </c>
      <c r="M121" s="157" t="s">
        <v>41</v>
      </c>
      <c r="N121" s="157" t="s">
        <v>42</v>
      </c>
      <c r="O121" s="158" t="s">
        <v>43</v>
      </c>
    </row>
    <row r="122" spans="1:58" ht="17.100000000000001" hidden="1" customHeight="1">
      <c r="A122" s="403" t="s">
        <v>128</v>
      </c>
      <c r="B122" s="404"/>
      <c r="C122" s="405"/>
      <c r="D122" s="406">
        <v>9737</v>
      </c>
      <c r="E122" s="407">
        <v>9794</v>
      </c>
      <c r="F122" s="407">
        <v>9843</v>
      </c>
      <c r="G122" s="407">
        <v>9876</v>
      </c>
      <c r="H122" s="407">
        <v>9916</v>
      </c>
      <c r="I122" s="407">
        <v>9957</v>
      </c>
      <c r="J122" s="407">
        <v>10032</v>
      </c>
      <c r="K122" s="407">
        <v>10106</v>
      </c>
      <c r="L122" s="407">
        <v>10156</v>
      </c>
      <c r="M122" s="407">
        <v>10205</v>
      </c>
      <c r="N122" s="407">
        <v>10252</v>
      </c>
      <c r="O122" s="408">
        <v>10268</v>
      </c>
    </row>
    <row r="123" spans="1:58" s="14" customFormat="1" ht="17.100000000000001" hidden="1" customHeight="1">
      <c r="A123" s="3299" t="s">
        <v>279</v>
      </c>
      <c r="B123" s="3300"/>
      <c r="C123" s="3301"/>
      <c r="D123" s="121">
        <v>6</v>
      </c>
      <c r="E123" s="121">
        <v>6</v>
      </c>
      <c r="F123" s="121">
        <v>6</v>
      </c>
      <c r="G123" s="121">
        <v>6</v>
      </c>
      <c r="H123" s="121">
        <v>6</v>
      </c>
      <c r="I123" s="121">
        <v>6</v>
      </c>
      <c r="J123" s="121">
        <v>6</v>
      </c>
      <c r="K123" s="294">
        <v>6</v>
      </c>
      <c r="L123" s="121">
        <v>6</v>
      </c>
      <c r="M123" s="121">
        <v>6</v>
      </c>
      <c r="N123" s="121">
        <v>6</v>
      </c>
      <c r="O123" s="409">
        <v>6</v>
      </c>
    </row>
    <row r="124" spans="1:58" s="14" customFormat="1" ht="17.100000000000001" hidden="1" customHeight="1">
      <c r="A124" s="3299" t="s">
        <v>277</v>
      </c>
      <c r="B124" s="3300"/>
      <c r="C124" s="3301"/>
      <c r="D124" s="283">
        <v>22</v>
      </c>
      <c r="E124" s="283">
        <v>24</v>
      </c>
      <c r="F124" s="283">
        <v>25</v>
      </c>
      <c r="G124" s="283">
        <v>26</v>
      </c>
      <c r="H124" s="283">
        <v>29</v>
      </c>
      <c r="I124" s="283">
        <v>29</v>
      </c>
      <c r="J124" s="283">
        <v>34</v>
      </c>
      <c r="K124" s="294">
        <v>32</v>
      </c>
      <c r="L124" s="283">
        <v>27</v>
      </c>
      <c r="M124" s="121">
        <v>26</v>
      </c>
      <c r="N124" s="121">
        <v>28</v>
      </c>
      <c r="O124" s="409">
        <v>29</v>
      </c>
    </row>
    <row r="125" spans="1:58" s="14" customFormat="1" ht="17.100000000000001" hidden="1" customHeight="1">
      <c r="A125" s="3299" t="s">
        <v>278</v>
      </c>
      <c r="B125" s="3300"/>
      <c r="C125" s="3301"/>
      <c r="D125" s="283">
        <v>32</v>
      </c>
      <c r="E125" s="283">
        <v>29</v>
      </c>
      <c r="F125" s="283">
        <v>32</v>
      </c>
      <c r="G125" s="283">
        <v>27</v>
      </c>
      <c r="H125" s="283">
        <v>29</v>
      </c>
      <c r="I125" s="283">
        <v>33</v>
      </c>
      <c r="J125" s="283">
        <v>31</v>
      </c>
      <c r="K125" s="294">
        <v>29</v>
      </c>
      <c r="L125" s="283">
        <v>26</v>
      </c>
      <c r="M125" s="121">
        <v>25</v>
      </c>
      <c r="N125" s="121">
        <v>26</v>
      </c>
      <c r="O125" s="409">
        <v>23</v>
      </c>
    </row>
    <row r="126" spans="1:58" s="285" customFormat="1" ht="17.100000000000001" hidden="1" customHeight="1">
      <c r="A126" s="3360" t="s">
        <v>276</v>
      </c>
      <c r="B126" s="3310"/>
      <c r="C126" s="3311"/>
      <c r="D126" s="283">
        <v>40</v>
      </c>
      <c r="E126" s="283">
        <v>41</v>
      </c>
      <c r="F126" s="283">
        <v>41</v>
      </c>
      <c r="G126" s="283">
        <v>41</v>
      </c>
      <c r="H126" s="283">
        <v>41</v>
      </c>
      <c r="I126" s="283">
        <v>41</v>
      </c>
      <c r="J126" s="283">
        <v>41</v>
      </c>
      <c r="K126" s="294">
        <v>41</v>
      </c>
      <c r="L126" s="283">
        <v>41</v>
      </c>
      <c r="M126" s="283">
        <v>42</v>
      </c>
      <c r="N126" s="283">
        <v>42</v>
      </c>
      <c r="O126" s="410">
        <v>43</v>
      </c>
    </row>
    <row r="127" spans="1:58" s="14" customFormat="1" ht="17.100000000000001" hidden="1" customHeight="1" thickBot="1">
      <c r="A127" s="3361" t="s">
        <v>329</v>
      </c>
      <c r="B127" s="3362"/>
      <c r="C127" s="3363"/>
      <c r="D127" s="398">
        <v>29</v>
      </c>
      <c r="E127" s="398">
        <v>29</v>
      </c>
      <c r="F127" s="398">
        <v>29</v>
      </c>
      <c r="G127" s="398">
        <v>29</v>
      </c>
      <c r="H127" s="398">
        <v>29</v>
      </c>
      <c r="I127" s="398">
        <v>29</v>
      </c>
      <c r="J127" s="398">
        <v>29</v>
      </c>
      <c r="K127" s="399">
        <v>29</v>
      </c>
      <c r="L127" s="398">
        <v>29</v>
      </c>
      <c r="M127" s="400">
        <v>29</v>
      </c>
      <c r="N127" s="400">
        <v>29</v>
      </c>
      <c r="O127" s="411">
        <v>29</v>
      </c>
      <c r="BF127" s="103">
        <v>0</v>
      </c>
    </row>
    <row r="128" spans="1:58" s="359" customFormat="1" ht="17.100000000000001" hidden="1" customHeight="1" thickBot="1">
      <c r="A128" s="3305" t="s">
        <v>129</v>
      </c>
      <c r="B128" s="3306"/>
      <c r="C128" s="3307"/>
      <c r="D128" s="401">
        <f>SUM(D123:D127)</f>
        <v>129</v>
      </c>
      <c r="E128" s="401">
        <f t="shared" ref="E128:J128" si="12">SUM(E123:E127)</f>
        <v>129</v>
      </c>
      <c r="F128" s="401">
        <f t="shared" si="12"/>
        <v>133</v>
      </c>
      <c r="G128" s="401">
        <f t="shared" si="12"/>
        <v>129</v>
      </c>
      <c r="H128" s="401">
        <f t="shared" si="12"/>
        <v>134</v>
      </c>
      <c r="I128" s="401">
        <f t="shared" si="12"/>
        <v>138</v>
      </c>
      <c r="J128" s="401">
        <f t="shared" si="12"/>
        <v>141</v>
      </c>
      <c r="K128" s="401">
        <f>SUM(K123:K127)</f>
        <v>137</v>
      </c>
      <c r="L128" s="401">
        <f>SUM(L123:L127)</f>
        <v>129</v>
      </c>
      <c r="M128" s="401">
        <f>SUM(M123:M127)</f>
        <v>128</v>
      </c>
      <c r="N128" s="401">
        <f>SUM(N123:N127)</f>
        <v>131</v>
      </c>
      <c r="O128" s="402">
        <f>SUM(O123:O127)</f>
        <v>130</v>
      </c>
    </row>
    <row r="129" spans="1:17" ht="17.100000000000001" hidden="1" customHeight="1" thickBot="1">
      <c r="A129" s="412" t="s">
        <v>126</v>
      </c>
      <c r="B129" s="413"/>
      <c r="C129" s="414"/>
      <c r="D129" s="415">
        <f>+D122/D128</f>
        <v>75.480620155038764</v>
      </c>
      <c r="E129" s="415">
        <f t="shared" ref="E129:O129" si="13">+E122/E128</f>
        <v>75.922480620155042</v>
      </c>
      <c r="F129" s="415">
        <f t="shared" si="13"/>
        <v>74.007518796992485</v>
      </c>
      <c r="G129" s="415">
        <f t="shared" si="13"/>
        <v>76.558139534883722</v>
      </c>
      <c r="H129" s="415">
        <f t="shared" si="13"/>
        <v>74</v>
      </c>
      <c r="I129" s="415">
        <f t="shared" si="13"/>
        <v>72.152173913043484</v>
      </c>
      <c r="J129" s="415">
        <f t="shared" si="13"/>
        <v>71.148936170212764</v>
      </c>
      <c r="K129" s="415">
        <f t="shared" si="13"/>
        <v>73.766423357664237</v>
      </c>
      <c r="L129" s="415">
        <f t="shared" si="13"/>
        <v>78.728682170542641</v>
      </c>
      <c r="M129" s="415">
        <f t="shared" si="13"/>
        <v>79.7265625</v>
      </c>
      <c r="N129" s="415">
        <f t="shared" si="13"/>
        <v>78.25954198473282</v>
      </c>
      <c r="O129" s="416">
        <f t="shared" si="13"/>
        <v>78.984615384615381</v>
      </c>
      <c r="P129" s="15"/>
      <c r="Q129" s="15"/>
    </row>
    <row r="130" spans="1:17" ht="11.25" customHeight="1"/>
    <row r="131" spans="1:17" ht="11.25" customHeight="1"/>
    <row r="132" spans="1:17" ht="11.25" customHeight="1"/>
    <row r="133" spans="1:17" ht="11.25" customHeight="1"/>
    <row r="134" spans="1:17" ht="11.25" customHeight="1"/>
    <row r="135" spans="1:17" ht="11.25" customHeight="1"/>
    <row r="136" spans="1:17" ht="11.25" customHeight="1"/>
    <row r="137" spans="1:17" ht="11.25" customHeight="1"/>
    <row r="138" spans="1:17" ht="11.25" customHeight="1"/>
    <row r="139" spans="1:17" ht="11.25" customHeight="1"/>
    <row r="140" spans="1:17" ht="11.25" customHeight="1"/>
    <row r="141" spans="1:17" ht="11.25" customHeight="1"/>
    <row r="142" spans="1:17" ht="11.25" customHeight="1"/>
    <row r="143" spans="1:17" ht="11.25" customHeight="1"/>
    <row r="144" spans="1:17"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spans="1:12" ht="11.25" customHeight="1"/>
    <row r="370" spans="1:12" ht="11.25" customHeight="1"/>
    <row r="371" spans="1:12" ht="11.25" customHeight="1"/>
    <row r="372" spans="1:12" ht="11.25" customHeight="1"/>
    <row r="373" spans="1:12" ht="11.25" customHeight="1"/>
    <row r="374" spans="1:12" ht="11.25" customHeight="1"/>
    <row r="375" spans="1:12" ht="11.25" customHeight="1"/>
    <row r="376" spans="1:12" ht="11.25" customHeight="1"/>
    <row r="377" spans="1:12" ht="11.25" customHeight="1"/>
    <row r="378" spans="1:12" ht="11.25" customHeight="1"/>
    <row r="379" spans="1:12" ht="11.25" customHeight="1"/>
    <row r="380" spans="1:12" ht="11.25" customHeight="1"/>
    <row r="381" spans="1:12" ht="11.25" customHeight="1"/>
    <row r="382" spans="1:12" ht="11.25" customHeight="1"/>
    <row r="383" spans="1:12" ht="11.25" customHeight="1"/>
    <row r="384" spans="1:12" ht="11.25" customHeight="1">
      <c r="A384" s="96"/>
      <c r="B384" s="84"/>
      <c r="C384" s="84"/>
      <c r="D384" s="84"/>
      <c r="E384" s="84"/>
      <c r="F384" s="84"/>
      <c r="G384" s="84"/>
      <c r="H384" s="84"/>
      <c r="I384" s="84"/>
      <c r="J384" s="84"/>
      <c r="K384" s="84"/>
      <c r="L384" s="83"/>
    </row>
    <row r="385" spans="1:12" ht="11.25" customHeight="1">
      <c r="A385" s="47"/>
      <c r="B385" s="8"/>
      <c r="C385" s="8"/>
      <c r="D385" s="8"/>
      <c r="E385" s="8"/>
      <c r="F385" s="8"/>
      <c r="G385" s="8"/>
      <c r="H385" s="8"/>
      <c r="J385" s="8"/>
      <c r="K385" s="8"/>
      <c r="L385" s="48"/>
    </row>
    <row r="386" spans="1:12" ht="11.25" customHeight="1">
      <c r="A386" s="47"/>
      <c r="B386" s="8"/>
      <c r="C386" s="8"/>
      <c r="D386" s="8"/>
      <c r="E386" s="8"/>
      <c r="F386" s="8"/>
      <c r="G386" s="8"/>
      <c r="H386" s="8"/>
      <c r="J386" s="8"/>
      <c r="K386" s="8"/>
      <c r="L386" s="48"/>
    </row>
    <row r="387" spans="1:12" ht="11.25" customHeight="1">
      <c r="A387" s="47"/>
      <c r="B387" s="8"/>
      <c r="C387" s="8"/>
      <c r="D387" s="8"/>
      <c r="E387" s="8"/>
      <c r="F387" s="8"/>
      <c r="G387" s="8"/>
      <c r="H387" s="8"/>
      <c r="J387" s="8"/>
      <c r="K387" s="8"/>
      <c r="L387" s="48"/>
    </row>
    <row r="388" spans="1:12" ht="11.25" customHeight="1">
      <c r="A388" s="47"/>
      <c r="B388" s="8"/>
      <c r="C388" s="8"/>
      <c r="D388" s="8"/>
      <c r="E388" s="8"/>
      <c r="F388" s="8"/>
      <c r="G388" s="8"/>
      <c r="H388" s="8"/>
      <c r="J388" s="8"/>
      <c r="K388" s="8"/>
      <c r="L388" s="48"/>
    </row>
    <row r="389" spans="1:12" ht="11.25" customHeight="1">
      <c r="A389" s="47"/>
      <c r="B389" s="8"/>
      <c r="C389" s="8"/>
      <c r="D389" s="8"/>
      <c r="E389" s="8"/>
      <c r="F389" s="8"/>
      <c r="G389" s="8"/>
      <c r="H389" s="8"/>
      <c r="J389" s="8"/>
      <c r="K389" s="8"/>
      <c r="L389" s="48"/>
    </row>
    <row r="390" spans="1:12" ht="11.25" customHeight="1">
      <c r="A390" s="47"/>
      <c r="B390" s="8"/>
      <c r="C390" s="8"/>
      <c r="D390" s="8"/>
      <c r="E390" s="8"/>
      <c r="F390" s="8"/>
      <c r="G390" s="8"/>
      <c r="H390" s="8"/>
      <c r="J390" s="8"/>
      <c r="K390" s="8"/>
      <c r="L390" s="48"/>
    </row>
    <row r="391" spans="1:12" ht="11.25" customHeight="1">
      <c r="A391" s="47"/>
      <c r="B391" s="8"/>
      <c r="C391" s="8"/>
      <c r="D391" s="8"/>
      <c r="E391" s="8"/>
      <c r="F391" s="8"/>
      <c r="G391" s="8"/>
      <c r="H391" s="8"/>
      <c r="J391" s="8"/>
      <c r="K391" s="8"/>
      <c r="L391" s="48"/>
    </row>
    <row r="392" spans="1:12" ht="11.25" customHeight="1">
      <c r="A392" s="47"/>
      <c r="B392" s="8"/>
      <c r="C392" s="8"/>
      <c r="D392" s="8"/>
      <c r="E392" s="8"/>
      <c r="F392" s="8"/>
      <c r="G392" s="8"/>
      <c r="H392" s="8"/>
      <c r="J392" s="8"/>
      <c r="K392" s="8"/>
      <c r="L392" s="48"/>
    </row>
    <row r="393" spans="1:12" ht="11.25" customHeight="1">
      <c r="A393" s="47"/>
      <c r="B393" s="8"/>
      <c r="C393" s="8"/>
      <c r="D393" s="8"/>
      <c r="E393" s="8"/>
      <c r="F393" s="8"/>
      <c r="G393" s="8"/>
      <c r="H393" s="8"/>
      <c r="J393" s="8"/>
      <c r="K393" s="8"/>
      <c r="L393" s="48"/>
    </row>
    <row r="394" spans="1:12" ht="11.25" customHeight="1">
      <c r="A394" s="47"/>
      <c r="B394" s="8"/>
      <c r="C394" s="8"/>
      <c r="D394" s="8"/>
      <c r="E394" s="8"/>
      <c r="F394" s="8"/>
      <c r="G394" s="8"/>
      <c r="H394" s="8"/>
      <c r="J394" s="8"/>
      <c r="K394" s="8"/>
      <c r="L394" s="48"/>
    </row>
    <row r="395" spans="1:12" ht="11.25" customHeight="1">
      <c r="A395" s="47"/>
      <c r="B395" s="8"/>
      <c r="C395" s="8"/>
      <c r="D395" s="8"/>
      <c r="E395" s="8"/>
      <c r="F395" s="8"/>
      <c r="G395" s="8"/>
      <c r="H395" s="8"/>
      <c r="J395" s="8"/>
      <c r="K395" s="8"/>
      <c r="L395" s="48"/>
    </row>
    <row r="396" spans="1:12" ht="11.25" customHeight="1">
      <c r="A396" s="47"/>
      <c r="B396" s="8"/>
      <c r="C396" s="8"/>
      <c r="D396" s="8"/>
      <c r="E396" s="8"/>
      <c r="F396" s="8"/>
      <c r="G396" s="8"/>
      <c r="H396" s="8"/>
      <c r="J396" s="8"/>
      <c r="K396" s="8"/>
      <c r="L396" s="48"/>
    </row>
    <row r="397" spans="1:12" ht="11.25" customHeight="1">
      <c r="A397" s="47"/>
      <c r="B397" s="8"/>
      <c r="C397" s="8"/>
      <c r="D397" s="8"/>
      <c r="E397" s="8"/>
      <c r="F397" s="8"/>
      <c r="G397" s="8"/>
      <c r="H397" s="8"/>
      <c r="J397" s="8"/>
      <c r="K397" s="8"/>
      <c r="L397" s="48"/>
    </row>
    <row r="398" spans="1:12" ht="11.25" customHeight="1">
      <c r="A398" s="47"/>
      <c r="B398" s="8"/>
      <c r="C398" s="8"/>
      <c r="D398" s="8"/>
      <c r="E398" s="8"/>
      <c r="F398" s="8"/>
      <c r="G398" s="8"/>
      <c r="H398" s="8"/>
      <c r="J398" s="8"/>
      <c r="K398" s="8"/>
      <c r="L398" s="48"/>
    </row>
    <row r="399" spans="1:12" ht="11.25" customHeight="1">
      <c r="A399" s="47"/>
      <c r="B399" s="8"/>
      <c r="C399" s="8"/>
      <c r="D399" s="8"/>
      <c r="E399" s="8"/>
      <c r="F399" s="8"/>
      <c r="G399" s="8"/>
      <c r="H399" s="8"/>
      <c r="J399" s="8"/>
      <c r="K399" s="8"/>
      <c r="L399" s="48"/>
    </row>
    <row r="400" spans="1:12" ht="11.25" customHeight="1">
      <c r="A400" s="47"/>
      <c r="B400" s="8"/>
      <c r="C400" s="8"/>
      <c r="D400" s="8"/>
      <c r="E400" s="8"/>
      <c r="F400" s="8"/>
      <c r="G400" s="8"/>
      <c r="H400" s="8"/>
      <c r="J400" s="8"/>
      <c r="K400" s="8"/>
      <c r="L400" s="48"/>
    </row>
    <row r="401" spans="1:12" ht="11.25" customHeight="1">
      <c r="A401" s="47"/>
      <c r="B401" s="8"/>
      <c r="C401" s="8"/>
      <c r="D401" s="8"/>
      <c r="E401" s="8"/>
      <c r="F401" s="8"/>
      <c r="G401" s="8"/>
      <c r="H401" s="8"/>
      <c r="J401" s="8"/>
      <c r="K401" s="8"/>
      <c r="L401" s="48"/>
    </row>
    <row r="402" spans="1:12" ht="11.25" customHeight="1">
      <c r="A402" s="47"/>
      <c r="B402" s="8"/>
      <c r="C402" s="8"/>
      <c r="D402" s="8"/>
      <c r="E402" s="8"/>
      <c r="F402" s="8"/>
      <c r="G402" s="8"/>
      <c r="H402" s="8"/>
      <c r="J402" s="8"/>
      <c r="K402" s="8"/>
      <c r="L402" s="48"/>
    </row>
    <row r="403" spans="1:12" ht="11.25" customHeight="1">
      <c r="A403" s="47"/>
      <c r="B403" s="8"/>
      <c r="C403" s="8"/>
      <c r="D403" s="8"/>
      <c r="E403" s="8"/>
      <c r="F403" s="8"/>
      <c r="G403" s="8"/>
      <c r="H403" s="8"/>
      <c r="J403" s="8"/>
      <c r="K403" s="8"/>
      <c r="L403" s="48"/>
    </row>
    <row r="404" spans="1:12" ht="11.25" customHeight="1">
      <c r="A404" s="57"/>
      <c r="B404" s="39"/>
      <c r="C404" s="39"/>
      <c r="D404" s="39"/>
      <c r="E404" s="39"/>
      <c r="F404" s="39"/>
      <c r="G404" s="39"/>
      <c r="H404" s="39"/>
      <c r="I404" s="39"/>
      <c r="J404" s="39"/>
      <c r="K404" s="39"/>
      <c r="L404" s="58"/>
    </row>
    <row r="405" spans="1:12" ht="11.25" customHeight="1"/>
    <row r="406" spans="1:12" ht="11.25" customHeight="1"/>
    <row r="407" spans="1:12" ht="11.25" customHeight="1"/>
    <row r="408" spans="1:12" ht="11.25" customHeight="1"/>
    <row r="409" spans="1:12" ht="11.25" customHeight="1"/>
    <row r="410" spans="1:12" ht="11.25" customHeight="1"/>
    <row r="411" spans="1:12" ht="11.25" customHeight="1"/>
    <row r="412" spans="1:12" ht="11.25" customHeight="1"/>
    <row r="413" spans="1:12" ht="11.25" customHeight="1"/>
    <row r="414" spans="1:12" ht="11.25" customHeight="1"/>
    <row r="415" spans="1:12" ht="11.25" customHeight="1"/>
    <row r="416" spans="1:12"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row r="1036" ht="11.25" customHeight="1"/>
    <row r="1037" ht="11.25" customHeight="1"/>
    <row r="1038" ht="11.25" customHeight="1"/>
    <row r="1039" ht="11.25" customHeight="1"/>
    <row r="1040" ht="11.25" customHeight="1"/>
    <row r="1041" ht="11.25" customHeight="1"/>
    <row r="1042" ht="11.25" customHeight="1"/>
    <row r="1043" ht="11.25" customHeight="1"/>
    <row r="1044" ht="11.25" customHeight="1"/>
    <row r="1045" ht="11.25" customHeight="1"/>
    <row r="1046" ht="11.25" customHeight="1"/>
    <row r="1047" ht="11.25" customHeight="1"/>
    <row r="1048" ht="11.25" customHeight="1"/>
    <row r="1049" ht="11.25" customHeight="1"/>
    <row r="1050" ht="11.25" customHeight="1"/>
    <row r="1051" ht="11.25" customHeight="1"/>
    <row r="1052" ht="11.25" customHeight="1"/>
    <row r="1053" ht="11.25" customHeight="1"/>
    <row r="1054" ht="11.25" customHeight="1"/>
    <row r="1055" ht="11.25" customHeight="1"/>
    <row r="1056" ht="11.25" customHeight="1"/>
    <row r="1057" ht="11.25" customHeight="1"/>
    <row r="1058" ht="11.25" customHeight="1"/>
    <row r="1059" ht="11.25" customHeight="1"/>
    <row r="1060" ht="11.25" customHeight="1"/>
    <row r="1061" ht="11.25" customHeight="1"/>
    <row r="1062" ht="11.25" customHeight="1"/>
    <row r="1063" ht="11.25" customHeight="1"/>
    <row r="1064" ht="11.25" customHeight="1"/>
    <row r="1065" ht="11.25" customHeight="1"/>
    <row r="1066" ht="11.25" customHeight="1"/>
    <row r="1067" ht="11.25" customHeight="1"/>
    <row r="1068" ht="11.25" customHeight="1"/>
    <row r="1069" ht="11.25" customHeight="1"/>
    <row r="1070" ht="11.25" customHeight="1"/>
    <row r="1071" ht="11.25" customHeight="1"/>
    <row r="1072" ht="11.25" customHeight="1"/>
    <row r="1073" ht="11.25" customHeight="1"/>
    <row r="1074" ht="11.25" customHeight="1"/>
    <row r="1075" ht="11.25" customHeight="1"/>
    <row r="1076" ht="11.25" customHeight="1"/>
    <row r="1077" ht="11.25" customHeight="1"/>
    <row r="1078" ht="11.25" customHeight="1"/>
    <row r="1079" ht="11.25" customHeight="1"/>
    <row r="1080" ht="11.25" customHeight="1"/>
    <row r="1081" ht="11.25" customHeight="1"/>
    <row r="1082" ht="11.25" customHeight="1"/>
    <row r="1083" ht="11.25" customHeight="1"/>
    <row r="1084" ht="11.25" customHeight="1"/>
    <row r="1085" ht="11.25" customHeight="1"/>
    <row r="1086" ht="11.25" customHeight="1"/>
    <row r="1087" ht="11.25" customHeight="1"/>
    <row r="1088" ht="11.25" customHeight="1"/>
    <row r="1089" ht="11.25" customHeight="1"/>
    <row r="1090" ht="11.25" customHeight="1"/>
    <row r="1091" ht="11.25" customHeight="1"/>
    <row r="1092" ht="11.25" customHeight="1"/>
    <row r="1093" ht="11.25" customHeight="1"/>
    <row r="1094" ht="11.25" customHeight="1"/>
    <row r="1095" ht="11.25" customHeight="1"/>
    <row r="1096" ht="11.25" customHeight="1"/>
    <row r="1097" ht="11.25" customHeight="1"/>
    <row r="1098" ht="11.25" customHeight="1"/>
    <row r="1099" ht="11.25" customHeight="1"/>
    <row r="1100" ht="11.25" customHeight="1"/>
    <row r="1101" ht="11.25" customHeight="1"/>
    <row r="1102" ht="11.25" customHeight="1"/>
    <row r="1103" ht="11.25" customHeight="1"/>
    <row r="1104" ht="11.25" customHeight="1"/>
    <row r="1105" ht="11.25" customHeight="1"/>
    <row r="1106" ht="11.25" customHeight="1"/>
    <row r="1107" ht="11.25" customHeight="1"/>
    <row r="1108" ht="11.25" customHeight="1"/>
    <row r="1109" ht="11.25" customHeight="1"/>
    <row r="1110" ht="11.25" customHeight="1"/>
    <row r="1111" ht="11.25" customHeight="1"/>
    <row r="1112" ht="11.25" customHeight="1"/>
    <row r="1113" ht="11.25" customHeight="1"/>
    <row r="1114" ht="11.25" customHeight="1"/>
    <row r="1115" ht="11.25" customHeight="1"/>
    <row r="1116" ht="11.25" customHeight="1"/>
    <row r="1117" ht="11.25" customHeight="1"/>
    <row r="1118" ht="11.25" customHeight="1"/>
    <row r="1119" ht="11.25" customHeight="1"/>
    <row r="1120" ht="11.25" customHeight="1"/>
    <row r="1121" ht="11.25" customHeight="1"/>
    <row r="1122" ht="11.25" customHeight="1"/>
    <row r="1123" ht="11.25" customHeight="1"/>
    <row r="1124" ht="11.25" customHeight="1"/>
    <row r="1125" ht="11.25" customHeight="1"/>
    <row r="1126" ht="11.25" customHeight="1"/>
    <row r="1127" ht="11.25" customHeight="1"/>
    <row r="1128" ht="11.25" customHeight="1"/>
    <row r="1129" ht="11.25" customHeight="1"/>
    <row r="1130" ht="11.25" customHeight="1"/>
    <row r="1131" ht="11.25" customHeight="1"/>
    <row r="1132" ht="11.25" customHeight="1"/>
    <row r="1133" ht="11.25" customHeight="1"/>
    <row r="1134" ht="11.25" customHeight="1"/>
    <row r="1135" ht="11.25" customHeight="1"/>
    <row r="1136" ht="11.25" customHeight="1"/>
    <row r="1137" ht="11.25" customHeight="1"/>
    <row r="1138" ht="11.25" customHeight="1"/>
    <row r="1139" ht="11.25" customHeight="1"/>
    <row r="1140" ht="11.25" customHeight="1"/>
    <row r="1141" ht="11.25" customHeight="1"/>
    <row r="1142" ht="11.25" customHeight="1"/>
    <row r="1143" ht="11.25" customHeight="1"/>
    <row r="1144" ht="11.25" customHeight="1"/>
    <row r="1145" ht="11.25" customHeight="1"/>
    <row r="1146" ht="11.25" customHeight="1"/>
    <row r="1147" ht="11.25" customHeight="1"/>
    <row r="1148" ht="11.25" customHeight="1"/>
    <row r="1149" ht="11.25" customHeight="1"/>
    <row r="1150" ht="11.25" customHeight="1"/>
    <row r="1151" ht="11.25" customHeight="1"/>
    <row r="1152" ht="11.25" customHeight="1"/>
    <row r="1153" ht="11.25" customHeight="1"/>
    <row r="1154" ht="11.25" customHeight="1"/>
    <row r="1155" ht="11.25" customHeight="1"/>
    <row r="1156" ht="11.25" customHeight="1"/>
    <row r="1157" ht="11.25" customHeight="1"/>
    <row r="1158" ht="11.25" customHeight="1"/>
    <row r="1159" ht="11.25" customHeight="1"/>
    <row r="1160" ht="11.25" customHeight="1"/>
    <row r="1161" ht="11.25" customHeight="1"/>
    <row r="1162" ht="11.25" customHeight="1"/>
    <row r="1163" ht="11.25" customHeight="1"/>
    <row r="1164" ht="11.25" customHeight="1"/>
    <row r="1165" ht="11.25" customHeight="1"/>
    <row r="1166" ht="11.25" customHeight="1"/>
    <row r="1167" ht="11.25" customHeight="1"/>
    <row r="1168" ht="11.25" customHeight="1"/>
    <row r="1169" ht="11.25" customHeight="1"/>
    <row r="1170" ht="11.25" customHeight="1"/>
    <row r="1171" ht="11.25" customHeight="1"/>
    <row r="1172" ht="11.25" customHeight="1"/>
    <row r="1173" ht="11.25" customHeight="1"/>
    <row r="1174" ht="11.25" customHeight="1"/>
    <row r="1175" ht="11.25" customHeight="1"/>
    <row r="1176" ht="11.25" customHeight="1"/>
    <row r="1177" ht="11.25" customHeight="1"/>
    <row r="1178" ht="11.25" customHeight="1"/>
    <row r="1179" ht="11.25" customHeight="1"/>
    <row r="1180" ht="11.25" customHeight="1"/>
    <row r="1181" ht="11.25" customHeight="1"/>
    <row r="1182" ht="11.25" customHeight="1"/>
    <row r="1183" ht="11.25" customHeight="1"/>
    <row r="1184" ht="11.25" customHeight="1"/>
    <row r="1185" ht="11.25" customHeight="1"/>
    <row r="1186" ht="11.25" customHeight="1"/>
    <row r="1187" ht="11.25" customHeight="1"/>
    <row r="1188" ht="11.25" customHeight="1"/>
    <row r="1189" ht="11.25" customHeight="1"/>
    <row r="1190" ht="11.25" customHeight="1"/>
    <row r="1191" ht="11.25" customHeight="1"/>
    <row r="1192" ht="11.25" customHeight="1"/>
    <row r="1193" ht="11.25" customHeight="1"/>
    <row r="1194" ht="11.25" customHeight="1"/>
    <row r="1195" ht="11.25" customHeight="1"/>
    <row r="1196" ht="11.25" customHeight="1"/>
    <row r="1197" ht="11.25" customHeight="1"/>
    <row r="1198" ht="11.25" customHeight="1"/>
    <row r="1199" ht="11.25" customHeight="1"/>
    <row r="1200" ht="11.25" customHeight="1"/>
    <row r="1201" ht="11.25" customHeight="1"/>
    <row r="1202" ht="11.25" customHeight="1"/>
    <row r="1203" ht="11.25" customHeight="1"/>
    <row r="1204" ht="11.25" customHeight="1"/>
    <row r="1205" ht="11.25" customHeight="1"/>
    <row r="1206" ht="11.25" customHeight="1"/>
    <row r="1207" ht="11.25" customHeight="1"/>
    <row r="1208" ht="11.25" customHeight="1"/>
    <row r="1209" ht="11.25" customHeight="1"/>
    <row r="1210" ht="11.25" customHeight="1"/>
    <row r="1211" ht="11.25" customHeight="1"/>
    <row r="1212" ht="11.25" customHeight="1"/>
    <row r="1213" ht="11.25" customHeight="1"/>
    <row r="1214" ht="11.25" customHeight="1"/>
    <row r="1215" ht="11.25" customHeight="1"/>
    <row r="1216" ht="11.25" customHeight="1"/>
    <row r="1217" ht="11.25" customHeight="1"/>
    <row r="1218" ht="11.25" customHeight="1"/>
    <row r="1219" ht="11.25" customHeight="1"/>
    <row r="1220" ht="11.25" customHeight="1"/>
    <row r="1221" ht="11.25" customHeight="1"/>
    <row r="1222" ht="11.25" customHeight="1"/>
    <row r="1223" ht="11.25" customHeight="1"/>
    <row r="1224" ht="11.25" customHeight="1"/>
    <row r="1225" ht="11.25" customHeight="1"/>
    <row r="1226" ht="11.25" customHeight="1"/>
    <row r="1227" ht="11.25" customHeight="1"/>
    <row r="1228" ht="11.25" customHeight="1"/>
    <row r="1229" ht="11.25" customHeight="1"/>
    <row r="1230" ht="11.25" customHeight="1"/>
    <row r="1231" ht="11.25" customHeight="1"/>
    <row r="1232" ht="11.25" customHeight="1"/>
    <row r="1233" ht="11.25" customHeight="1"/>
    <row r="1234" ht="11.25" customHeight="1"/>
    <row r="1235" ht="11.25" customHeight="1"/>
    <row r="1236" ht="11.25" customHeight="1"/>
    <row r="1237" ht="11.25" customHeight="1"/>
    <row r="1238" ht="11.25" customHeight="1"/>
    <row r="1239" ht="11.25" customHeight="1"/>
    <row r="1240" ht="11.25" customHeight="1"/>
    <row r="1241" ht="11.25" customHeight="1"/>
    <row r="1242" ht="11.25" customHeight="1"/>
    <row r="1243" ht="11.25" customHeight="1"/>
    <row r="1244" ht="11.25" customHeight="1"/>
    <row r="1245" ht="11.25" customHeight="1"/>
    <row r="1246" ht="11.25" customHeight="1"/>
    <row r="1247" ht="11.25" customHeight="1"/>
    <row r="1248" ht="11.25" customHeight="1"/>
    <row r="1249" ht="11.25" customHeight="1"/>
    <row r="1250" ht="11.25" customHeight="1"/>
    <row r="1251" ht="11.25" customHeight="1"/>
    <row r="1252" ht="11.25" customHeight="1"/>
    <row r="1253" ht="11.25" customHeight="1"/>
    <row r="1254" ht="11.25" customHeight="1"/>
    <row r="1255" ht="11.25" customHeight="1"/>
    <row r="1256" ht="11.25" customHeight="1"/>
    <row r="1257" ht="11.25" customHeight="1"/>
    <row r="1258" ht="11.25" customHeight="1"/>
    <row r="1259" ht="11.25" customHeight="1"/>
    <row r="1260" ht="11.25" customHeight="1"/>
    <row r="1261" ht="11.25" customHeight="1"/>
    <row r="1262" ht="11.25" customHeight="1"/>
    <row r="1263" ht="11.25" customHeight="1"/>
    <row r="1264" ht="11.25" customHeight="1"/>
    <row r="1265" ht="11.25" customHeight="1"/>
    <row r="1266" ht="11.25" customHeight="1"/>
    <row r="1267" ht="11.25" customHeight="1"/>
    <row r="1268" ht="11.25" customHeight="1"/>
    <row r="1269" ht="11.25" customHeight="1"/>
    <row r="1270" ht="11.25" customHeight="1"/>
    <row r="1271" ht="11.25" customHeight="1"/>
    <row r="1272" ht="11.25" customHeight="1"/>
    <row r="1273" ht="11.25" customHeight="1"/>
    <row r="1274" ht="11.25" customHeight="1"/>
    <row r="1275" ht="11.25" customHeight="1"/>
    <row r="1276" ht="11.25" customHeight="1"/>
    <row r="1277" ht="11.25" customHeight="1"/>
    <row r="1278" ht="11.25" customHeight="1"/>
    <row r="1279" ht="11.25" customHeight="1"/>
    <row r="1280" ht="11.25" customHeight="1"/>
    <row r="1281" ht="11.25" customHeight="1"/>
    <row r="1282" ht="11.25" customHeight="1"/>
    <row r="1283" ht="11.25" customHeight="1"/>
    <row r="1284" ht="11.25" customHeight="1"/>
    <row r="1285" ht="11.25" customHeight="1"/>
    <row r="1286" ht="11.25" customHeight="1"/>
    <row r="1287" ht="11.25" customHeight="1"/>
    <row r="1288" ht="11.25" customHeight="1"/>
    <row r="1289" ht="11.25" customHeight="1"/>
    <row r="1290" ht="11.25" customHeight="1"/>
    <row r="1291" ht="11.25" customHeight="1"/>
    <row r="1292" ht="11.25" customHeight="1"/>
    <row r="1293" ht="11.25" customHeight="1"/>
    <row r="1294" ht="11.25" customHeight="1"/>
    <row r="1295" ht="11.25" customHeight="1"/>
    <row r="1296" ht="11.25" customHeight="1"/>
    <row r="1297" ht="11.25" customHeight="1"/>
    <row r="1298" ht="11.25" customHeight="1"/>
    <row r="1299" ht="11.25" customHeight="1"/>
    <row r="1300" ht="11.25" customHeight="1"/>
    <row r="1301" ht="11.25" customHeight="1"/>
    <row r="1302" ht="11.25" customHeight="1"/>
    <row r="1303" ht="11.25" customHeight="1"/>
    <row r="1304" ht="11.25" customHeight="1"/>
    <row r="1305" ht="11.25" customHeight="1"/>
    <row r="1306" ht="11.25" customHeight="1"/>
    <row r="1307" ht="11.25" customHeight="1"/>
    <row r="1308" ht="11.25" customHeight="1"/>
    <row r="1309" ht="11.25" customHeight="1"/>
    <row r="1310" ht="11.25" customHeight="1"/>
    <row r="1311" ht="11.25" customHeight="1"/>
    <row r="1312" ht="11.25" customHeight="1"/>
    <row r="1313" ht="11.25" customHeight="1"/>
    <row r="1314" ht="11.25" customHeight="1"/>
    <row r="1315" ht="11.25" customHeight="1"/>
    <row r="1316" ht="11.25" customHeight="1"/>
    <row r="1317" ht="11.25" customHeight="1"/>
    <row r="1318" ht="11.25" customHeight="1"/>
    <row r="1319" ht="11.25" customHeight="1"/>
    <row r="1320" ht="11.25" customHeight="1"/>
    <row r="1321" ht="11.25" customHeight="1"/>
    <row r="1322" ht="11.25" customHeight="1"/>
    <row r="1323" ht="11.25" customHeight="1"/>
    <row r="1324" ht="11.25" customHeight="1"/>
    <row r="1325" ht="11.25" customHeight="1"/>
    <row r="1326" ht="11.25" customHeight="1"/>
    <row r="1327" ht="11.25" customHeight="1"/>
    <row r="1328" ht="11.25" customHeight="1"/>
    <row r="1329" ht="11.25" customHeight="1"/>
    <row r="1330" ht="11.25" customHeight="1"/>
    <row r="1331" ht="11.25" customHeight="1"/>
    <row r="1332" ht="11.25" customHeight="1"/>
    <row r="1333" ht="11.25" customHeight="1"/>
    <row r="1334" ht="11.25" customHeight="1"/>
    <row r="1335" ht="11.25" customHeight="1"/>
    <row r="1336" ht="11.25" customHeight="1"/>
    <row r="1337" ht="11.25" customHeight="1"/>
    <row r="1338" ht="11.25" customHeight="1"/>
    <row r="1339" ht="11.25" customHeight="1"/>
    <row r="1340" ht="11.25" customHeight="1"/>
    <row r="1341" ht="11.25" customHeight="1"/>
    <row r="1342" ht="11.25" customHeight="1"/>
    <row r="1343" ht="11.25" customHeight="1"/>
    <row r="1344" ht="11.25" customHeight="1"/>
    <row r="1345" ht="11.25" customHeight="1"/>
    <row r="1346" ht="11.25" customHeight="1"/>
    <row r="1347" ht="11.25" customHeight="1"/>
    <row r="1348" ht="11.25" customHeight="1"/>
    <row r="1349" ht="11.25" customHeight="1"/>
    <row r="1350" ht="11.25" customHeight="1"/>
    <row r="1351" ht="11.25" customHeight="1"/>
    <row r="1352" ht="11.25" customHeight="1"/>
    <row r="1353" ht="11.25" customHeight="1"/>
    <row r="1354" ht="11.25" customHeight="1"/>
    <row r="1355" ht="11.25" customHeight="1"/>
    <row r="1356" ht="11.25" customHeight="1"/>
    <row r="1357" ht="11.25" customHeight="1"/>
    <row r="1358" ht="11.25" customHeight="1"/>
    <row r="1359" ht="11.25" customHeight="1"/>
    <row r="1360" ht="11.25" customHeight="1"/>
    <row r="1361" ht="11.25" customHeight="1"/>
    <row r="1362" ht="11.25" customHeight="1"/>
    <row r="1363" ht="11.25" customHeight="1"/>
    <row r="1364" ht="11.25" customHeight="1"/>
    <row r="1365" ht="11.25" customHeight="1"/>
    <row r="1366" ht="11.25" customHeight="1"/>
    <row r="1367" ht="11.25" customHeight="1"/>
    <row r="1368" ht="11.25" customHeight="1"/>
    <row r="1369" ht="11.25" customHeight="1"/>
    <row r="1370" ht="11.25" customHeight="1"/>
    <row r="1371" ht="11.25" customHeight="1"/>
    <row r="1372" ht="11.25" customHeight="1"/>
    <row r="1373" ht="11.25" customHeight="1"/>
    <row r="1374" ht="11.25" customHeight="1"/>
    <row r="1375" ht="11.25" customHeight="1"/>
    <row r="1376" ht="11.25" customHeight="1"/>
    <row r="1377" ht="11.25" customHeight="1"/>
    <row r="1378" ht="11.25" customHeight="1"/>
    <row r="1379" ht="11.25" customHeight="1"/>
    <row r="1380" ht="11.25" customHeight="1"/>
    <row r="1381" ht="11.25" customHeight="1"/>
    <row r="1382" ht="11.25" customHeight="1"/>
    <row r="1383" ht="11.25" customHeight="1"/>
    <row r="1384" ht="11.25" customHeight="1"/>
    <row r="1385" ht="11.25" customHeight="1"/>
    <row r="1386" ht="11.25" customHeight="1"/>
    <row r="1387" ht="11.25" customHeight="1"/>
    <row r="1388" ht="11.25" customHeight="1"/>
    <row r="1389" ht="11.25" customHeight="1"/>
    <row r="1390" ht="11.25" customHeight="1"/>
    <row r="1391" ht="11.25" customHeight="1"/>
    <row r="1392" ht="11.25" customHeight="1"/>
    <row r="1393" ht="11.25" customHeight="1"/>
    <row r="1394" ht="11.25" customHeight="1"/>
    <row r="1395" ht="11.25" customHeight="1"/>
    <row r="1396" ht="11.25" customHeight="1"/>
    <row r="1397" ht="11.25" customHeight="1"/>
    <row r="1398" ht="11.25" customHeight="1"/>
    <row r="1399" ht="11.25" customHeight="1"/>
    <row r="1400" ht="11.25" customHeight="1"/>
    <row r="1401" ht="11.25" customHeight="1"/>
    <row r="1402" ht="11.25" customHeight="1"/>
    <row r="1403" ht="11.25" customHeight="1"/>
    <row r="1404" ht="11.25" customHeight="1"/>
    <row r="1405" ht="11.25" customHeight="1"/>
    <row r="1406" ht="11.25" customHeight="1"/>
    <row r="1407" ht="11.25" customHeight="1"/>
    <row r="1408" ht="11.25" customHeight="1"/>
    <row r="1409" ht="11.25" customHeight="1"/>
    <row r="1410" ht="11.25" customHeight="1"/>
    <row r="1411" ht="11.25" customHeight="1"/>
    <row r="1412" ht="11.25" customHeight="1"/>
    <row r="1413" ht="11.25" customHeight="1"/>
    <row r="1414" ht="11.25" customHeight="1"/>
    <row r="1415" ht="11.25" customHeight="1"/>
    <row r="1416" ht="11.25" customHeight="1"/>
    <row r="1417" ht="11.25" customHeight="1"/>
    <row r="1418" ht="11.25" customHeight="1"/>
    <row r="1419" ht="11.25" customHeight="1"/>
    <row r="1420" ht="11.25" customHeight="1"/>
    <row r="1421" ht="11.25" customHeight="1"/>
    <row r="1422" ht="11.25" customHeight="1"/>
    <row r="1423" ht="11.25" customHeight="1"/>
    <row r="1424" ht="11.25" customHeight="1"/>
    <row r="1425" ht="11.25" customHeight="1"/>
    <row r="1426" ht="11.25" customHeight="1"/>
    <row r="1427" ht="11.25" customHeight="1"/>
    <row r="1428" ht="11.25" customHeight="1"/>
    <row r="1429" ht="11.25" customHeight="1"/>
    <row r="1430" ht="11.25" customHeight="1"/>
    <row r="1431" ht="11.25" customHeight="1"/>
    <row r="1432" ht="11.25" customHeight="1"/>
    <row r="1433" ht="11.25" customHeight="1"/>
    <row r="1434" ht="11.25" customHeight="1"/>
    <row r="1435" ht="11.25" customHeight="1"/>
    <row r="1436" ht="11.25" customHeight="1"/>
    <row r="1437" ht="11.25" customHeight="1"/>
    <row r="1438" ht="11.25" customHeight="1"/>
    <row r="1439" ht="11.25" customHeight="1"/>
    <row r="1440" ht="11.25" customHeight="1"/>
    <row r="1441" ht="11.25" customHeight="1"/>
    <row r="1442" ht="11.25" customHeight="1"/>
    <row r="1443" ht="11.25" customHeight="1"/>
    <row r="1444" ht="11.25" customHeight="1"/>
    <row r="1445" ht="11.25" customHeight="1"/>
    <row r="1446" ht="11.25" customHeight="1"/>
    <row r="1447" ht="11.25" customHeight="1"/>
    <row r="1448" ht="11.25" customHeight="1"/>
    <row r="1449" ht="11.25" customHeight="1"/>
    <row r="1450" ht="11.25" customHeight="1"/>
    <row r="1451" ht="11.25" customHeight="1"/>
    <row r="1452" ht="11.25" customHeight="1"/>
    <row r="1453" ht="11.25" customHeight="1"/>
    <row r="1454" ht="11.25" customHeight="1"/>
    <row r="1455" ht="11.25" customHeight="1"/>
    <row r="1456" ht="11.25" customHeight="1"/>
    <row r="1457" ht="11.25" customHeight="1"/>
    <row r="1458" ht="11.25" customHeight="1"/>
    <row r="1459" ht="11.25" customHeight="1"/>
    <row r="1460" ht="11.25" customHeight="1"/>
    <row r="1461" ht="11.25" customHeight="1"/>
    <row r="1462" ht="11.25" customHeight="1"/>
    <row r="1463" ht="11.25" customHeight="1"/>
    <row r="1464" ht="11.25" customHeight="1"/>
    <row r="1465" ht="11.25" customHeight="1"/>
    <row r="1466" ht="11.25" customHeight="1"/>
    <row r="1467" ht="11.25" customHeight="1"/>
    <row r="1468" ht="11.25" customHeight="1"/>
    <row r="1469" ht="11.25" customHeight="1"/>
    <row r="1470" ht="11.25" customHeight="1"/>
    <row r="1471" ht="11.25" customHeight="1"/>
    <row r="1472" ht="11.25" customHeight="1"/>
    <row r="1473" ht="11.25" customHeight="1"/>
    <row r="1474" ht="11.25" customHeight="1"/>
    <row r="1475" ht="11.25" customHeight="1"/>
    <row r="1476" ht="11.25" customHeight="1"/>
    <row r="1477" ht="11.25" customHeight="1"/>
    <row r="1478" ht="11.25" customHeight="1"/>
    <row r="1479" ht="11.25" customHeight="1"/>
    <row r="1480" ht="11.25" customHeight="1"/>
    <row r="1481" ht="11.25" customHeight="1"/>
    <row r="1482" ht="11.25" customHeight="1"/>
    <row r="1483" ht="11.25" customHeight="1"/>
    <row r="1484" ht="11.25" customHeight="1"/>
    <row r="1485" ht="11.25" customHeight="1"/>
    <row r="1486" ht="11.25" customHeight="1"/>
    <row r="1487" ht="11.25" customHeight="1"/>
    <row r="1488" ht="11.25" customHeight="1"/>
    <row r="1489" ht="11.25" customHeight="1"/>
    <row r="1490" ht="11.25" customHeight="1"/>
    <row r="1491" ht="11.25" customHeight="1"/>
    <row r="1492" ht="11.25" customHeight="1"/>
    <row r="1493" ht="11.25" customHeight="1"/>
    <row r="1494" ht="11.25" customHeight="1"/>
    <row r="1495" ht="11.25" customHeight="1"/>
    <row r="1496" ht="11.25" customHeight="1"/>
    <row r="1497" ht="11.25" customHeight="1"/>
    <row r="1498" ht="11.25" customHeight="1"/>
    <row r="1499" ht="11.25" customHeight="1"/>
    <row r="1500" ht="11.25" customHeight="1"/>
    <row r="1501" ht="11.25" customHeight="1"/>
    <row r="1502" ht="11.25" customHeight="1"/>
    <row r="1503" ht="11.25" customHeight="1"/>
    <row r="1504" ht="11.25" customHeight="1"/>
    <row r="1505" ht="11.25" customHeight="1"/>
    <row r="1506" ht="11.25" customHeight="1"/>
    <row r="1507" ht="11.25" customHeight="1"/>
    <row r="1508" ht="11.25" customHeight="1"/>
    <row r="1509" ht="11.25" customHeight="1"/>
    <row r="1510" ht="11.25" customHeight="1"/>
    <row r="1511" ht="11.25" customHeight="1"/>
    <row r="1512" ht="11.25" customHeight="1"/>
    <row r="1513" ht="11.25" customHeight="1"/>
    <row r="1514" ht="11.25" customHeight="1"/>
    <row r="1515" ht="11.25" customHeight="1"/>
    <row r="1516" ht="11.25" customHeight="1"/>
    <row r="1517" ht="11.25" customHeight="1"/>
    <row r="1518" ht="11.25" customHeight="1"/>
    <row r="1519" ht="11.25" customHeight="1"/>
    <row r="1520" ht="11.25" customHeight="1"/>
    <row r="1521" ht="11.25" customHeight="1"/>
    <row r="1522" ht="11.25" customHeight="1"/>
    <row r="1523" ht="11.25" customHeight="1"/>
    <row r="1524" ht="11.25" customHeight="1"/>
    <row r="1525" ht="11.25" customHeight="1"/>
    <row r="1526" ht="11.25" customHeight="1"/>
    <row r="1527" ht="11.25" customHeight="1"/>
    <row r="1528" ht="11.25" customHeight="1"/>
    <row r="1529" ht="11.25" customHeight="1"/>
    <row r="1530" ht="11.25" customHeight="1"/>
    <row r="1531" ht="11.25" customHeight="1"/>
    <row r="1532" ht="11.25" customHeight="1"/>
    <row r="1533" ht="11.25" customHeight="1"/>
    <row r="1534" ht="11.25" customHeight="1"/>
    <row r="1535" ht="11.25" customHeight="1"/>
    <row r="1536" ht="11.25" customHeight="1"/>
    <row r="1537" ht="11.25" customHeight="1"/>
    <row r="1538" ht="11.25" customHeight="1"/>
    <row r="1539" ht="11.25" customHeight="1"/>
    <row r="1540" ht="11.25" customHeight="1"/>
    <row r="1541" ht="11.25" customHeight="1"/>
    <row r="1542" ht="11.25" customHeight="1"/>
    <row r="1543" ht="11.25" customHeight="1"/>
    <row r="1544" ht="11.25" customHeight="1"/>
    <row r="1545" ht="11.25" customHeight="1"/>
    <row r="1546" ht="11.25" customHeight="1"/>
    <row r="1547" ht="11.25" customHeight="1"/>
    <row r="1548" ht="11.25" customHeight="1"/>
    <row r="1549" ht="11.25" customHeight="1"/>
    <row r="1550" ht="11.25" customHeight="1"/>
    <row r="1551" ht="11.25" customHeight="1"/>
    <row r="1552" ht="11.25" customHeight="1"/>
    <row r="1553" ht="11.25" customHeight="1"/>
    <row r="1554" ht="11.25" customHeight="1"/>
    <row r="1555" ht="11.25" customHeight="1"/>
    <row r="1556" ht="11.25" customHeight="1"/>
    <row r="1557" ht="11.25" customHeight="1"/>
    <row r="1558" ht="11.25" customHeight="1"/>
    <row r="1559" ht="11.25" customHeight="1"/>
    <row r="1560" ht="11.25" customHeight="1"/>
    <row r="1561" ht="11.25" customHeight="1"/>
    <row r="1562" ht="11.25" customHeight="1"/>
    <row r="1563" ht="11.25" customHeight="1"/>
    <row r="1564" ht="11.25" customHeight="1"/>
    <row r="1565" ht="11.25" customHeight="1"/>
    <row r="1566" ht="11.25" customHeight="1"/>
    <row r="1567" ht="11.25" customHeight="1"/>
    <row r="1568" ht="11.25" customHeight="1"/>
    <row r="1569" ht="11.25" customHeight="1"/>
    <row r="1570" ht="11.25" customHeight="1"/>
    <row r="1571" ht="11.25" customHeight="1"/>
    <row r="1572" ht="11.25" customHeight="1"/>
    <row r="1573" ht="11.25" customHeight="1"/>
    <row r="1574" ht="11.25" customHeight="1"/>
    <row r="1575" ht="11.25" customHeight="1"/>
    <row r="1576" ht="11.25" customHeight="1"/>
    <row r="1577" ht="11.25" customHeight="1"/>
    <row r="1578" ht="11.25" customHeight="1"/>
    <row r="1579" ht="11.25" customHeight="1"/>
    <row r="1580" ht="11.25" customHeight="1"/>
    <row r="1581" ht="11.25" customHeight="1"/>
    <row r="1582" ht="11.25" customHeight="1"/>
    <row r="1583" ht="11.25" customHeight="1"/>
    <row r="1584" ht="11.25" customHeight="1"/>
    <row r="1585" ht="11.25" customHeight="1"/>
    <row r="1586" ht="11.25" customHeight="1"/>
    <row r="1587" ht="11.25" customHeight="1"/>
    <row r="1588" ht="11.25" customHeight="1"/>
    <row r="1589" ht="11.25" customHeight="1"/>
    <row r="1590" ht="11.25" customHeight="1"/>
    <row r="1591" ht="11.25" customHeight="1"/>
    <row r="1592" ht="11.25" customHeight="1"/>
    <row r="1593" ht="11.25" customHeight="1"/>
    <row r="1594" ht="11.25" customHeight="1"/>
    <row r="1595" ht="11.25" customHeight="1"/>
    <row r="1596" ht="11.25" customHeight="1"/>
    <row r="1597" ht="11.25" customHeight="1"/>
    <row r="1598" ht="11.25" customHeight="1"/>
    <row r="1599" ht="11.25" customHeight="1"/>
    <row r="1600" ht="11.25" customHeight="1"/>
    <row r="1601" ht="11.25" customHeight="1"/>
    <row r="1602" ht="11.25" customHeight="1"/>
    <row r="1603" ht="11.25" customHeight="1"/>
    <row r="1604" ht="11.25" customHeight="1"/>
    <row r="1605" ht="11.25" customHeight="1"/>
    <row r="1606" ht="11.25" customHeight="1"/>
    <row r="1607" ht="11.25" customHeight="1"/>
    <row r="1608" ht="11.25" customHeight="1"/>
    <row r="1609" ht="11.25" customHeight="1"/>
    <row r="1610" ht="11.25" customHeight="1"/>
    <row r="1611" ht="11.25" customHeight="1"/>
    <row r="1612" ht="11.25" customHeight="1"/>
    <row r="1613" ht="11.25" customHeight="1"/>
    <row r="1614" ht="11.25" customHeight="1"/>
    <row r="1615" ht="11.25" customHeight="1"/>
    <row r="1616" ht="11.25" customHeight="1"/>
    <row r="1617" ht="11.25" customHeight="1"/>
    <row r="1618" ht="11.25" customHeight="1"/>
    <row r="1619" ht="11.25" customHeight="1"/>
    <row r="1620" ht="11.25" customHeight="1"/>
    <row r="1621" ht="11.25" customHeight="1"/>
    <row r="1622" ht="11.25" customHeight="1"/>
    <row r="1623" ht="11.25" customHeight="1"/>
    <row r="1624" ht="11.25" customHeight="1"/>
    <row r="1625" ht="11.25" customHeight="1"/>
    <row r="1626" ht="11.25" customHeight="1"/>
    <row r="1627" ht="11.25" customHeight="1"/>
    <row r="1628" ht="11.25" customHeight="1"/>
    <row r="1629" ht="11.25" customHeight="1"/>
    <row r="1630" ht="11.25" customHeight="1"/>
    <row r="1631" ht="11.25" customHeight="1"/>
    <row r="1632" ht="11.25" customHeight="1"/>
    <row r="1633" ht="11.25" customHeight="1"/>
    <row r="1634" ht="11.25" customHeight="1"/>
    <row r="1635" ht="11.25" customHeight="1"/>
    <row r="1636" ht="11.25" customHeight="1"/>
    <row r="1637" ht="11.25" customHeight="1"/>
    <row r="1638" ht="11.25" customHeight="1"/>
    <row r="1639" ht="11.25" customHeight="1"/>
    <row r="1640" ht="11.25" customHeight="1"/>
    <row r="1641" ht="11.25" customHeight="1"/>
    <row r="1642" ht="11.25" customHeight="1"/>
    <row r="1643" ht="11.25" customHeight="1"/>
    <row r="1644" ht="11.25" customHeight="1"/>
    <row r="1645" ht="11.25" customHeight="1"/>
    <row r="1646" ht="11.25" customHeight="1"/>
    <row r="1647" ht="11.25" customHeight="1"/>
    <row r="1648" ht="11.25" customHeight="1"/>
    <row r="1649" ht="11.25" customHeight="1"/>
    <row r="1650" ht="11.25" customHeight="1"/>
    <row r="1651" ht="11.25" customHeight="1"/>
    <row r="1652" ht="11.25" customHeight="1"/>
    <row r="1653" ht="11.25" customHeight="1"/>
    <row r="1654" ht="11.25" customHeight="1"/>
    <row r="1655" ht="11.25" customHeight="1"/>
    <row r="1656" ht="11.25" customHeight="1"/>
    <row r="1657" ht="11.25" customHeight="1"/>
    <row r="1658" ht="11.25" customHeight="1"/>
    <row r="1659" ht="11.25" customHeight="1"/>
    <row r="1660" ht="11.25" customHeight="1"/>
    <row r="1661" ht="11.25" customHeight="1"/>
    <row r="1662" ht="11.25" customHeight="1"/>
    <row r="1663" ht="11.25" customHeight="1"/>
    <row r="1664" ht="11.25" customHeight="1"/>
    <row r="1665" ht="11.25" customHeight="1"/>
    <row r="1666" ht="11.25" customHeight="1"/>
    <row r="1667" ht="11.25" customHeight="1"/>
    <row r="1668" ht="11.25" customHeight="1"/>
    <row r="1669" ht="11.25" customHeight="1"/>
    <row r="1670" ht="11.25" customHeight="1"/>
    <row r="1671" ht="11.25" customHeight="1"/>
    <row r="1672" ht="11.25" customHeight="1"/>
    <row r="1673" ht="11.25" customHeight="1"/>
    <row r="1674" ht="11.25" customHeight="1"/>
    <row r="1675" ht="11.25" customHeight="1"/>
    <row r="1676" ht="11.25" customHeight="1"/>
    <row r="1677" ht="11.25" customHeight="1"/>
    <row r="1678" ht="11.25" customHeight="1"/>
    <row r="1679" ht="11.25" customHeight="1"/>
    <row r="1680" ht="11.25" customHeight="1"/>
    <row r="1681" ht="11.25" customHeight="1"/>
    <row r="1682" ht="11.25" customHeight="1"/>
    <row r="1683" ht="11.25" customHeight="1"/>
    <row r="1684" ht="11.25" customHeight="1"/>
    <row r="1685" ht="11.25" customHeight="1"/>
    <row r="1686" ht="11.25" customHeight="1"/>
    <row r="1687" ht="11.25" customHeight="1"/>
    <row r="1688" ht="11.25" customHeight="1"/>
    <row r="1689" ht="11.25" customHeight="1"/>
    <row r="1690" ht="11.25" customHeight="1"/>
    <row r="1691" ht="11.25" customHeight="1"/>
    <row r="1692" ht="11.25" customHeight="1"/>
    <row r="1693" ht="11.25" customHeight="1"/>
    <row r="1694" ht="11.25" customHeight="1"/>
    <row r="1695" ht="11.25" customHeight="1"/>
    <row r="1696" ht="11.25" customHeight="1"/>
    <row r="1697" ht="11.25" customHeight="1"/>
    <row r="1698" ht="11.25" customHeight="1"/>
    <row r="1699" ht="11.25" customHeight="1"/>
    <row r="1700" ht="11.25" customHeight="1"/>
    <row r="1701" ht="11.25" customHeight="1"/>
    <row r="1702" ht="11.25" customHeight="1"/>
    <row r="1703" ht="11.25" customHeight="1"/>
    <row r="1704" ht="11.25" customHeight="1"/>
    <row r="1705" ht="11.25" customHeight="1"/>
    <row r="1706" ht="11.25" customHeight="1"/>
    <row r="1707" ht="11.25" customHeight="1"/>
    <row r="1708" ht="11.25" customHeight="1"/>
    <row r="1709" ht="11.25" customHeight="1"/>
    <row r="1710" ht="11.25" customHeight="1"/>
    <row r="1711" ht="11.25" customHeight="1"/>
    <row r="1712" ht="11.25" customHeight="1"/>
    <row r="1713" ht="11.25" customHeight="1"/>
    <row r="1714" ht="11.25" customHeight="1"/>
    <row r="1715" ht="11.25" customHeight="1"/>
    <row r="1716" ht="11.25" customHeight="1"/>
    <row r="1717" ht="11.25" customHeight="1"/>
    <row r="1718" ht="11.25" customHeight="1"/>
    <row r="1719" ht="11.25" customHeight="1"/>
    <row r="1720" ht="11.25" customHeight="1"/>
    <row r="1721" ht="11.25" customHeight="1"/>
    <row r="1722" ht="11.25" customHeight="1"/>
    <row r="1723" ht="11.25" customHeight="1"/>
    <row r="1724" ht="11.25" customHeight="1"/>
    <row r="1725" ht="11.25" customHeight="1"/>
    <row r="1726" ht="11.25" customHeight="1"/>
    <row r="1727" ht="11.25" customHeight="1"/>
    <row r="1728" ht="11.25" customHeight="1"/>
    <row r="1729" ht="11.25" customHeight="1"/>
    <row r="1730" ht="11.25" customHeight="1"/>
    <row r="1731" ht="11.25" customHeight="1"/>
    <row r="1732" ht="11.25" customHeight="1"/>
    <row r="1733" ht="11.25" customHeight="1"/>
    <row r="1734" ht="11.25" customHeight="1"/>
    <row r="1735" ht="11.25" customHeight="1"/>
    <row r="1736" ht="11.25" customHeight="1"/>
    <row r="1737" ht="11.25" customHeight="1"/>
    <row r="1738" ht="11.25" customHeight="1"/>
    <row r="1739" ht="11.25" customHeight="1"/>
    <row r="1740" ht="11.25" customHeight="1"/>
    <row r="1741" ht="11.25" customHeight="1"/>
    <row r="1742" ht="11.25" customHeight="1"/>
    <row r="1743" ht="11.25" customHeight="1"/>
    <row r="1744" ht="11.25" customHeight="1"/>
    <row r="1745" ht="11.25" customHeight="1"/>
    <row r="1746" ht="11.25" customHeight="1"/>
    <row r="1747" ht="11.25" customHeight="1"/>
    <row r="1748" ht="11.25" customHeight="1"/>
    <row r="1749" ht="11.25" customHeight="1"/>
    <row r="1750" ht="11.25" customHeight="1"/>
    <row r="1751" ht="11.25" customHeight="1"/>
    <row r="1752" ht="11.25" customHeight="1"/>
    <row r="1753" ht="11.25" customHeight="1"/>
    <row r="1754" ht="11.25" customHeight="1"/>
    <row r="1755" ht="11.25" customHeight="1"/>
    <row r="1756" ht="11.25" customHeight="1"/>
    <row r="1757" ht="11.25" customHeight="1"/>
    <row r="1758" ht="11.25" customHeight="1"/>
    <row r="1759" ht="11.25" customHeight="1"/>
    <row r="1760" ht="11.25" customHeight="1"/>
    <row r="1761" ht="11.25" customHeight="1"/>
    <row r="1762" ht="11.25" customHeight="1"/>
    <row r="1763" ht="11.25" customHeight="1"/>
    <row r="1764" ht="11.25" customHeight="1"/>
    <row r="1765" ht="11.25" customHeight="1"/>
    <row r="1766" ht="11.25" customHeight="1"/>
    <row r="1767" ht="11.25" customHeight="1"/>
    <row r="1768" ht="11.25" customHeight="1"/>
    <row r="1769" ht="11.25" customHeight="1"/>
    <row r="1770" ht="11.25" customHeight="1"/>
    <row r="1771" ht="11.25" customHeight="1"/>
    <row r="1772" ht="11.25" customHeight="1"/>
    <row r="1773" ht="11.25" customHeight="1"/>
    <row r="1774" ht="11.25" customHeight="1"/>
    <row r="1775" ht="11.25" customHeight="1"/>
    <row r="1776" ht="11.25" customHeight="1"/>
    <row r="1777" ht="11.25" customHeight="1"/>
    <row r="1778" ht="11.25" customHeight="1"/>
    <row r="1779" ht="11.25" customHeight="1"/>
    <row r="1780" ht="11.25" customHeight="1"/>
    <row r="1781" ht="11.25" customHeight="1"/>
    <row r="1782" ht="11.25" customHeight="1"/>
    <row r="1783" ht="11.25" customHeight="1"/>
    <row r="1784" ht="11.25" customHeight="1"/>
    <row r="1785" ht="11.25" customHeight="1"/>
    <row r="1786" ht="11.25" customHeight="1"/>
    <row r="1787" ht="11.25" customHeight="1"/>
    <row r="1788" ht="11.25" customHeight="1"/>
    <row r="1789" ht="11.25" customHeight="1"/>
    <row r="1790" ht="11.25" customHeight="1"/>
    <row r="1791" ht="11.25" customHeight="1"/>
    <row r="1792" ht="11.25" customHeight="1"/>
    <row r="1793" ht="11.25" customHeight="1"/>
    <row r="1794" ht="11.25" customHeight="1"/>
    <row r="1795" ht="11.25" customHeight="1"/>
    <row r="1796" ht="11.25" customHeight="1"/>
    <row r="1797" ht="11.25" customHeight="1"/>
    <row r="1798" ht="11.25" customHeight="1"/>
    <row r="1799" ht="11.25" customHeight="1"/>
    <row r="1800" ht="11.25" customHeight="1"/>
    <row r="1801" ht="11.25" customHeight="1"/>
    <row r="1802" ht="11.25" customHeight="1"/>
    <row r="1803" ht="11.25" customHeight="1"/>
    <row r="1804" ht="11.25" customHeight="1"/>
    <row r="1805" ht="11.25" customHeight="1"/>
    <row r="1806" ht="11.25" customHeight="1"/>
    <row r="1807" ht="11.25" customHeight="1"/>
    <row r="1808" ht="11.25" customHeight="1"/>
    <row r="1809" ht="11.25" customHeight="1"/>
    <row r="1810" ht="11.25" customHeight="1"/>
    <row r="1811" ht="11.25" customHeight="1"/>
    <row r="1812" ht="11.25" customHeight="1"/>
    <row r="1813" ht="11.25" customHeight="1"/>
    <row r="1814" ht="11.25" customHeight="1"/>
    <row r="1815" ht="11.25" customHeight="1"/>
    <row r="1816" ht="11.25" customHeight="1"/>
    <row r="1817" ht="11.25" customHeight="1"/>
    <row r="1818" ht="11.25" customHeight="1"/>
    <row r="1819" ht="11.25" customHeight="1"/>
    <row r="1820" ht="11.25" customHeight="1"/>
    <row r="1821" ht="11.25" customHeight="1"/>
    <row r="1822" ht="11.25" customHeight="1"/>
    <row r="1823" ht="11.25" customHeight="1"/>
    <row r="1824" ht="11.25" customHeight="1"/>
    <row r="1825" ht="11.25" customHeight="1"/>
    <row r="1826" ht="11.25" customHeight="1"/>
    <row r="1827" ht="11.25" customHeight="1"/>
    <row r="1828" ht="11.25" customHeight="1"/>
    <row r="1829" ht="11.25" customHeight="1"/>
    <row r="1830" ht="11.25" customHeight="1"/>
    <row r="1831" ht="11.25" customHeight="1"/>
    <row r="1832" ht="11.25" customHeight="1"/>
    <row r="1833" ht="11.25" customHeight="1"/>
    <row r="1834" ht="11.25" customHeight="1"/>
    <row r="1835" ht="11.25" customHeight="1"/>
    <row r="1836" ht="11.25" customHeight="1"/>
    <row r="1837" ht="11.25" customHeight="1"/>
    <row r="1838" ht="11.25" customHeight="1"/>
    <row r="1839" ht="11.25" customHeight="1"/>
    <row r="1840" ht="11.25" customHeight="1"/>
    <row r="1841" ht="11.25" customHeight="1"/>
    <row r="1842" ht="11.25" customHeight="1"/>
    <row r="1843" ht="11.25" customHeight="1"/>
    <row r="1844" ht="11.25" customHeight="1"/>
    <row r="1845" ht="11.25" customHeight="1"/>
    <row r="1846" ht="11.25" customHeight="1"/>
    <row r="1847" ht="11.25" customHeight="1"/>
    <row r="1848" ht="11.25" customHeight="1"/>
    <row r="1849" ht="11.25" customHeight="1"/>
    <row r="1850" ht="11.25" customHeight="1"/>
    <row r="1851" ht="11.25" customHeight="1"/>
    <row r="1852" ht="11.25" customHeight="1"/>
    <row r="1853" ht="11.25" customHeight="1"/>
    <row r="1854" ht="11.25" customHeight="1"/>
    <row r="1855" ht="11.25" customHeight="1"/>
    <row r="1856" ht="11.25" customHeight="1"/>
    <row r="1857" ht="11.25" customHeight="1"/>
    <row r="1858" ht="11.25" customHeight="1"/>
    <row r="1859" ht="11.25" customHeight="1"/>
    <row r="1860" ht="11.25" customHeight="1"/>
    <row r="1861" ht="11.25" customHeight="1"/>
    <row r="1862" ht="11.25" customHeight="1"/>
    <row r="1863" ht="11.25" customHeight="1"/>
    <row r="1864" ht="11.25" customHeight="1"/>
    <row r="1865" ht="11.25" customHeight="1"/>
    <row r="1866" ht="11.25" customHeight="1"/>
    <row r="1867" ht="11.25" customHeight="1"/>
    <row r="1868" ht="11.25" customHeight="1"/>
    <row r="1869" ht="11.25" customHeight="1"/>
    <row r="1870" ht="11.25" customHeight="1"/>
    <row r="1871" ht="11.25" customHeight="1"/>
    <row r="1872" ht="11.25" customHeight="1"/>
    <row r="1873" ht="11.25" customHeight="1"/>
    <row r="1874" ht="11.25" customHeight="1"/>
    <row r="1875" ht="11.25" customHeight="1"/>
    <row r="1876" ht="11.25" customHeight="1"/>
    <row r="1877" ht="11.25" customHeight="1"/>
    <row r="1878" ht="11.25" customHeight="1"/>
    <row r="1879" ht="11.25" customHeight="1"/>
    <row r="1880" ht="11.25" customHeight="1"/>
    <row r="1881" ht="11.25" customHeight="1"/>
    <row r="1882" ht="11.25" customHeight="1"/>
    <row r="1883" ht="11.25" customHeight="1"/>
    <row r="1884" ht="11.25" customHeight="1"/>
    <row r="1885" ht="11.25" customHeight="1"/>
    <row r="1886" ht="11.25" customHeight="1"/>
    <row r="1887" ht="11.25" customHeight="1"/>
    <row r="1888" ht="11.25" customHeight="1"/>
    <row r="1889" ht="11.25" customHeight="1"/>
    <row r="1890" ht="11.25" customHeight="1"/>
    <row r="1891" ht="11.25" customHeight="1"/>
    <row r="1892" ht="11.25" customHeight="1"/>
    <row r="1893" ht="11.25" customHeight="1"/>
    <row r="1894" ht="11.25" customHeight="1"/>
    <row r="1895" ht="11.25" customHeight="1"/>
    <row r="1896" ht="11.25" customHeight="1"/>
    <row r="1897" ht="11.25" customHeight="1"/>
    <row r="1898" ht="11.25" customHeight="1"/>
    <row r="1899" ht="11.25" customHeight="1"/>
    <row r="1900" ht="11.25" customHeight="1"/>
    <row r="1901" ht="11.25" customHeight="1"/>
    <row r="1902" ht="11.25" customHeight="1"/>
    <row r="1903" ht="11.25" customHeight="1"/>
    <row r="1904" ht="11.25" customHeight="1"/>
    <row r="1905" ht="11.25" customHeight="1"/>
    <row r="1906" ht="11.25" customHeight="1"/>
    <row r="1907" ht="11.25" customHeight="1"/>
    <row r="1908" ht="11.25" customHeight="1"/>
    <row r="1909" ht="11.25" customHeight="1"/>
    <row r="1910" ht="11.25" customHeight="1"/>
    <row r="1911" ht="11.25" customHeight="1"/>
    <row r="1912" ht="11.25" customHeight="1"/>
    <row r="1913" ht="11.25" customHeight="1"/>
    <row r="1914" ht="11.25" customHeight="1"/>
    <row r="1915" ht="11.25" customHeight="1"/>
    <row r="1916" ht="11.25" customHeight="1"/>
    <row r="1917" ht="11.25" customHeight="1"/>
    <row r="1918" ht="11.25" customHeight="1"/>
    <row r="1919" ht="11.25" customHeight="1"/>
    <row r="1920" ht="11.25" customHeight="1"/>
    <row r="1921" ht="11.25" customHeight="1"/>
    <row r="1922" ht="11.25" customHeight="1"/>
    <row r="1923" ht="11.25" customHeight="1"/>
  </sheetData>
  <mergeCells count="71">
    <mergeCell ref="A86:C86"/>
    <mergeCell ref="A87:C87"/>
    <mergeCell ref="A80:C80"/>
    <mergeCell ref="A82:C82"/>
    <mergeCell ref="A83:C83"/>
    <mergeCell ref="A84:C84"/>
    <mergeCell ref="A85:C85"/>
    <mergeCell ref="A104:C104"/>
    <mergeCell ref="A105:C105"/>
    <mergeCell ref="A106:C106"/>
    <mergeCell ref="A107:C107"/>
    <mergeCell ref="A127:C127"/>
    <mergeCell ref="A128:C128"/>
    <mergeCell ref="A121:C121"/>
    <mergeCell ref="A123:C123"/>
    <mergeCell ref="A124:C124"/>
    <mergeCell ref="A125:C125"/>
    <mergeCell ref="A126:C126"/>
    <mergeCell ref="A1:O1"/>
    <mergeCell ref="A2:C2"/>
    <mergeCell ref="D2:M2"/>
    <mergeCell ref="N2:O2"/>
    <mergeCell ref="A3:C3"/>
    <mergeCell ref="D3:O3"/>
    <mergeCell ref="A4:C4"/>
    <mergeCell ref="D4:O4"/>
    <mergeCell ref="A5:C5"/>
    <mergeCell ref="D5:O5"/>
    <mergeCell ref="A6:C6"/>
    <mergeCell ref="D6:O6"/>
    <mergeCell ref="A7:C7"/>
    <mergeCell ref="D7:O7"/>
    <mergeCell ref="A8:C8"/>
    <mergeCell ref="D8:O8"/>
    <mergeCell ref="A9:C9"/>
    <mergeCell ref="D9:O9"/>
    <mergeCell ref="A10:C10"/>
    <mergeCell ref="D10:O10"/>
    <mergeCell ref="A11:C11"/>
    <mergeCell ref="D11:O11"/>
    <mergeCell ref="A12:C12"/>
    <mergeCell ref="D12:O12"/>
    <mergeCell ref="A14:E14"/>
    <mergeCell ref="A15:A17"/>
    <mergeCell ref="B15:B17"/>
    <mergeCell ref="C15:D15"/>
    <mergeCell ref="E15:E17"/>
    <mergeCell ref="C16:C17"/>
    <mergeCell ref="D16:D17"/>
    <mergeCell ref="A75:C75"/>
    <mergeCell ref="D75:O75"/>
    <mergeCell ref="A76:C76"/>
    <mergeCell ref="D76:O76"/>
    <mergeCell ref="A78:C78"/>
    <mergeCell ref="D78:O78"/>
    <mergeCell ref="A95:C95"/>
    <mergeCell ref="A97:C97"/>
    <mergeCell ref="A91:C91"/>
    <mergeCell ref="A93:C93"/>
    <mergeCell ref="A118:C118"/>
    <mergeCell ref="A109:C109"/>
    <mergeCell ref="A112:C112"/>
    <mergeCell ref="A114:C114"/>
    <mergeCell ref="A115:C115"/>
    <mergeCell ref="A116:C116"/>
    <mergeCell ref="A117:C117"/>
    <mergeCell ref="A94:C94"/>
    <mergeCell ref="A96:C96"/>
    <mergeCell ref="A98:C98"/>
    <mergeCell ref="A108:C108"/>
    <mergeCell ref="A102:C102"/>
  </mergeCells>
  <printOptions horizontalCentered="1" verticalCentered="1"/>
  <pageMargins left="0.19685039370078741" right="0.19685039370078741" top="0.59055118110236227" bottom="0.39370078740157483" header="0" footer="0"/>
  <pageSetup paperSize="9" scale="95" orientation="portrait" r:id="rId1"/>
  <headerFooter alignWithMargins="0"/>
  <rowBreaks count="1" manualBreakCount="1">
    <brk id="89" max="15" man="1"/>
  </rowBreaks>
  <ignoredErrors>
    <ignoredError sqref="E118:H118 D109:O109 I118:K118 D98:I98 J98:O98" formulaRange="1"/>
  </ignoredError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1">
    <tabColor rgb="FFFFFF00"/>
  </sheetPr>
  <dimension ref="A1:AT273"/>
  <sheetViews>
    <sheetView showGridLines="0" view="pageBreakPreview" topLeftCell="A15" zoomScaleNormal="100" zoomScaleSheetLayoutView="100" workbookViewId="0">
      <selection activeCell="D101" sqref="D101"/>
    </sheetView>
  </sheetViews>
  <sheetFormatPr baseColWidth="10" defaultColWidth="12" defaultRowHeight="12"/>
  <cols>
    <col min="1" max="1" width="10.33203125" style="334" customWidth="1"/>
    <col min="2" max="2" width="19.5" style="334" customWidth="1"/>
    <col min="3" max="3" width="10.33203125" style="334" customWidth="1"/>
    <col min="4" max="4" width="14.83203125" style="334" customWidth="1"/>
    <col min="5" max="6" width="10.33203125" style="334" customWidth="1"/>
    <col min="7" max="7" width="10" style="334" customWidth="1"/>
    <col min="8" max="8" width="9.83203125" style="334" customWidth="1"/>
    <col min="9" max="9" width="8.6640625" style="333" customWidth="1"/>
    <col min="10" max="11" width="9" style="334" customWidth="1"/>
    <col min="12" max="12" width="8.33203125" style="334" customWidth="1"/>
    <col min="13" max="13" width="10.33203125" style="334" customWidth="1"/>
    <col min="14" max="15" width="12" style="333"/>
    <col min="16" max="16384" width="12" style="334"/>
  </cols>
  <sheetData>
    <row r="1" spans="1:26" ht="27" customHeight="1" thickTop="1" thickBot="1">
      <c r="A1" s="3352" t="s">
        <v>161</v>
      </c>
      <c r="B1" s="3353"/>
      <c r="C1" s="3353"/>
      <c r="D1" s="3353"/>
      <c r="E1" s="3353"/>
      <c r="F1" s="3353"/>
      <c r="G1" s="3353"/>
      <c r="H1" s="3353"/>
      <c r="I1" s="3353"/>
      <c r="J1" s="3353"/>
      <c r="K1" s="3353"/>
      <c r="L1" s="3353"/>
      <c r="M1" s="3354"/>
    </row>
    <row r="2" spans="1:26" ht="27.75" customHeight="1">
      <c r="A2" s="3316" t="s">
        <v>58</v>
      </c>
      <c r="B2" s="3386"/>
      <c r="C2" s="3386"/>
      <c r="D2" s="3355" t="s">
        <v>179</v>
      </c>
      <c r="E2" s="3355"/>
      <c r="F2" s="3355"/>
      <c r="G2" s="3355"/>
      <c r="H2" s="3355"/>
      <c r="I2" s="3387"/>
      <c r="J2" s="3355"/>
      <c r="K2" s="3355"/>
      <c r="L2" s="3358" t="s">
        <v>315</v>
      </c>
      <c r="M2" s="3359"/>
    </row>
    <row r="3" spans="1:26" ht="26.25" customHeight="1">
      <c r="A3" s="3345" t="s">
        <v>59</v>
      </c>
      <c r="B3" s="3370"/>
      <c r="C3" s="3370"/>
      <c r="D3" s="3346" t="s">
        <v>163</v>
      </c>
      <c r="E3" s="3346"/>
      <c r="F3" s="3346"/>
      <c r="G3" s="3346"/>
      <c r="H3" s="3346"/>
      <c r="I3" s="3346"/>
      <c r="J3" s="3346"/>
      <c r="K3" s="3346"/>
      <c r="L3" s="3346"/>
      <c r="M3" s="3381"/>
    </row>
    <row r="4" spans="1:26">
      <c r="A4" s="3345" t="s">
        <v>8</v>
      </c>
      <c r="B4" s="3370"/>
      <c r="C4" s="3384"/>
      <c r="D4" s="3385" t="s">
        <v>333</v>
      </c>
      <c r="E4" s="3385"/>
      <c r="F4" s="3385"/>
      <c r="G4" s="3385"/>
      <c r="H4" s="3385"/>
      <c r="I4" s="3349"/>
      <c r="J4" s="3349"/>
      <c r="K4" s="3349"/>
      <c r="L4" s="3349"/>
      <c r="M4" s="3380"/>
    </row>
    <row r="5" spans="1:26" ht="27.75" customHeight="1">
      <c r="A5" s="3345" t="s">
        <v>61</v>
      </c>
      <c r="B5" s="3370"/>
      <c r="C5" s="3370"/>
      <c r="D5" s="3349" t="s">
        <v>160</v>
      </c>
      <c r="E5" s="3349"/>
      <c r="F5" s="3349"/>
      <c r="G5" s="3349"/>
      <c r="H5" s="3349"/>
      <c r="I5" s="3349"/>
      <c r="J5" s="3349"/>
      <c r="K5" s="3349"/>
      <c r="L5" s="3349"/>
      <c r="M5" s="3380"/>
    </row>
    <row r="6" spans="1:26" ht="35.25" customHeight="1">
      <c r="A6" s="3345" t="s">
        <v>62</v>
      </c>
      <c r="B6" s="3370"/>
      <c r="C6" s="3370"/>
      <c r="D6" s="3349"/>
      <c r="E6" s="3349"/>
      <c r="F6" s="3349"/>
      <c r="G6" s="3349"/>
      <c r="H6" s="3349"/>
      <c r="I6" s="3349"/>
      <c r="J6" s="3349"/>
      <c r="K6" s="3349"/>
      <c r="L6" s="3349"/>
      <c r="M6" s="3380"/>
    </row>
    <row r="7" spans="1:26" ht="28.5" customHeight="1">
      <c r="A7" s="3345" t="s">
        <v>63</v>
      </c>
      <c r="B7" s="3370"/>
      <c r="C7" s="3370"/>
      <c r="D7" s="3350" t="s">
        <v>159</v>
      </c>
      <c r="E7" s="3350"/>
      <c r="F7" s="3350"/>
      <c r="G7" s="3350"/>
      <c r="H7" s="3350"/>
      <c r="I7" s="3350"/>
      <c r="J7" s="3350"/>
      <c r="K7" s="3350"/>
      <c r="L7" s="3350"/>
      <c r="M7" s="3351"/>
      <c r="Z7" s="335"/>
    </row>
    <row r="8" spans="1:26" ht="22.5" customHeight="1">
      <c r="A8" s="3345" t="s">
        <v>65</v>
      </c>
      <c r="B8" s="3370"/>
      <c r="C8" s="3370"/>
      <c r="D8" s="3349" t="s">
        <v>509</v>
      </c>
      <c r="E8" s="3349"/>
      <c r="F8" s="3349"/>
      <c r="G8" s="3349"/>
      <c r="H8" s="3349"/>
      <c r="I8" s="3349"/>
      <c r="J8" s="3349"/>
      <c r="K8" s="3349"/>
      <c r="L8" s="3349"/>
      <c r="M8" s="3380"/>
    </row>
    <row r="9" spans="1:26" ht="23.25" customHeight="1">
      <c r="A9" s="3345" t="s">
        <v>9</v>
      </c>
      <c r="B9" s="3370"/>
      <c r="C9" s="3370"/>
      <c r="D9" s="3382" t="s">
        <v>700</v>
      </c>
      <c r="E9" s="3382"/>
      <c r="F9" s="3382"/>
      <c r="G9" s="3382"/>
      <c r="H9" s="3382"/>
      <c r="I9" s="3382"/>
      <c r="J9" s="3382"/>
      <c r="K9" s="3382"/>
      <c r="L9" s="3382"/>
      <c r="M9" s="3383"/>
    </row>
    <row r="10" spans="1:26" s="333" customFormat="1" ht="21.75" customHeight="1">
      <c r="A10" s="3345" t="s">
        <v>158</v>
      </c>
      <c r="B10" s="3370"/>
      <c r="C10" s="3370"/>
      <c r="D10" s="3349" t="s">
        <v>157</v>
      </c>
      <c r="E10" s="3349"/>
      <c r="F10" s="3349"/>
      <c r="G10" s="3349"/>
      <c r="H10" s="3349"/>
      <c r="I10" s="3349"/>
      <c r="J10" s="3349"/>
      <c r="K10" s="3349"/>
      <c r="L10" s="3349"/>
      <c r="M10" s="3380"/>
      <c r="O10" s="618"/>
      <c r="P10" s="618"/>
    </row>
    <row r="11" spans="1:26" ht="30.75" customHeight="1">
      <c r="A11" s="3345" t="s">
        <v>66</v>
      </c>
      <c r="B11" s="3370"/>
      <c r="C11" s="3370"/>
      <c r="D11" s="3346" t="s">
        <v>156</v>
      </c>
      <c r="E11" s="3346"/>
      <c r="F11" s="3346"/>
      <c r="G11" s="3346"/>
      <c r="H11" s="3346"/>
      <c r="I11" s="3346"/>
      <c r="J11" s="3346"/>
      <c r="K11" s="3346"/>
      <c r="L11" s="3346"/>
      <c r="M11" s="3381"/>
      <c r="O11" s="73"/>
      <c r="P11" s="619"/>
    </row>
    <row r="12" spans="1:26" ht="24.75" customHeight="1">
      <c r="A12" s="3345" t="s">
        <v>67</v>
      </c>
      <c r="B12" s="3370"/>
      <c r="C12" s="3370"/>
      <c r="D12" s="3349" t="s">
        <v>145</v>
      </c>
      <c r="E12" s="3349"/>
      <c r="F12" s="3349"/>
      <c r="G12" s="3349"/>
      <c r="H12" s="3349"/>
      <c r="I12" s="3349"/>
      <c r="J12" s="3349"/>
      <c r="K12" s="3349"/>
      <c r="L12" s="3349"/>
      <c r="M12" s="3380"/>
      <c r="O12" s="73"/>
      <c r="P12" s="619"/>
    </row>
    <row r="13" spans="1:26" ht="22.5" customHeight="1">
      <c r="A13" s="3345" t="s">
        <v>155</v>
      </c>
      <c r="B13" s="3370"/>
      <c r="C13" s="3370"/>
      <c r="D13" s="127" t="s">
        <v>154</v>
      </c>
      <c r="E13" s="128">
        <v>0.01</v>
      </c>
      <c r="F13" s="123"/>
      <c r="G13" s="336"/>
      <c r="H13" s="115"/>
      <c r="I13" s="336"/>
      <c r="J13" s="124"/>
      <c r="K13" s="123"/>
      <c r="L13" s="123"/>
      <c r="M13" s="140"/>
      <c r="O13" s="73"/>
      <c r="P13" s="619"/>
    </row>
    <row r="14" spans="1:26" ht="22.5" customHeight="1">
      <c r="A14" s="3345"/>
      <c r="B14" s="3370"/>
      <c r="C14" s="3370"/>
      <c r="D14" s="127" t="s">
        <v>153</v>
      </c>
      <c r="E14" s="129" t="s">
        <v>228</v>
      </c>
      <c r="F14" s="24"/>
      <c r="G14" s="333"/>
      <c r="H14" s="9"/>
      <c r="J14" s="26"/>
      <c r="K14" s="25"/>
      <c r="L14" s="25"/>
      <c r="M14" s="137"/>
      <c r="O14" s="618"/>
      <c r="P14" s="619"/>
    </row>
    <row r="15" spans="1:26" s="333" customFormat="1" ht="12.75" thickBot="1">
      <c r="A15" s="544"/>
      <c r="B15" s="84"/>
      <c r="C15" s="84"/>
      <c r="D15" s="84"/>
      <c r="E15" s="8"/>
      <c r="F15" s="8"/>
      <c r="G15" s="8"/>
      <c r="H15" s="8"/>
      <c r="I15" s="8"/>
      <c r="J15" s="8"/>
      <c r="K15" s="8"/>
      <c r="L15" s="8"/>
      <c r="M15" s="136"/>
      <c r="N15" s="8"/>
      <c r="O15" s="8"/>
      <c r="P15" s="618"/>
    </row>
    <row r="16" spans="1:26" s="333" customFormat="1" ht="12.75" thickBot="1">
      <c r="A16" s="3377" t="s">
        <v>69</v>
      </c>
      <c r="B16" s="3378"/>
      <c r="C16" s="3378"/>
      <c r="D16" s="3378"/>
      <c r="E16" s="3379"/>
      <c r="F16" s="8"/>
      <c r="G16" s="8"/>
      <c r="H16" s="8"/>
      <c r="I16" s="8"/>
      <c r="J16" s="8"/>
      <c r="K16" s="8"/>
      <c r="L16" s="8"/>
      <c r="M16" s="136"/>
      <c r="N16" s="8"/>
      <c r="O16" s="8"/>
      <c r="P16" s="618"/>
    </row>
    <row r="17" spans="1:15" ht="24" customHeight="1">
      <c r="A17" s="3371" t="s">
        <v>70</v>
      </c>
      <c r="B17" s="3170" t="s">
        <v>191</v>
      </c>
      <c r="C17" s="3171" t="s">
        <v>507</v>
      </c>
      <c r="D17" s="3171" t="s">
        <v>227</v>
      </c>
      <c r="E17" s="3375" t="s">
        <v>508</v>
      </c>
      <c r="F17" s="24"/>
      <c r="G17" s="24"/>
      <c r="H17" s="3364"/>
      <c r="I17" s="8"/>
      <c r="J17" s="8"/>
      <c r="K17" s="8"/>
      <c r="L17" s="8"/>
      <c r="M17" s="136"/>
      <c r="N17" s="8"/>
      <c r="O17" s="8"/>
    </row>
    <row r="18" spans="1:15" ht="12.75" thickBot="1">
      <c r="A18" s="3372"/>
      <c r="B18" s="3373"/>
      <c r="C18" s="3374"/>
      <c r="D18" s="3374"/>
      <c r="E18" s="3376"/>
      <c r="F18" s="332"/>
      <c r="G18" s="332"/>
      <c r="H18" s="3365"/>
      <c r="I18" s="8"/>
      <c r="J18" s="8"/>
      <c r="K18" s="8"/>
      <c r="L18" s="8"/>
      <c r="M18" s="136"/>
      <c r="N18" s="8"/>
      <c r="O18" s="8"/>
    </row>
    <row r="19" spans="1:15" hidden="1">
      <c r="A19" s="337">
        <v>40695</v>
      </c>
      <c r="B19" s="606"/>
      <c r="C19" s="338">
        <v>1</v>
      </c>
      <c r="D19" s="338">
        <v>1</v>
      </c>
      <c r="E19" s="339">
        <v>1</v>
      </c>
      <c r="F19" s="332"/>
      <c r="G19" s="332"/>
      <c r="H19" s="3365"/>
      <c r="I19" s="8"/>
      <c r="J19" s="8"/>
      <c r="K19" s="8"/>
      <c r="L19" s="8"/>
      <c r="M19" s="136"/>
      <c r="N19" s="8"/>
      <c r="O19" s="8"/>
    </row>
    <row r="20" spans="1:15" ht="12.75" hidden="1">
      <c r="A20" s="340">
        <v>40725</v>
      </c>
      <c r="B20" s="607"/>
      <c r="C20" s="237">
        <v>1</v>
      </c>
      <c r="D20" s="237">
        <v>1</v>
      </c>
      <c r="E20" s="2669">
        <v>1</v>
      </c>
      <c r="F20" s="11"/>
      <c r="G20" s="11"/>
      <c r="H20" s="11"/>
      <c r="I20" s="8"/>
      <c r="J20" s="8"/>
      <c r="K20" s="8"/>
      <c r="L20" s="8"/>
      <c r="M20" s="136"/>
      <c r="N20" s="8"/>
      <c r="O20" s="8"/>
    </row>
    <row r="21" spans="1:15" s="1" customFormat="1" ht="15.75" hidden="1" customHeight="1">
      <c r="A21" s="340">
        <v>40756</v>
      </c>
      <c r="B21" s="607"/>
      <c r="C21" s="237">
        <v>1</v>
      </c>
      <c r="D21" s="237">
        <v>1</v>
      </c>
      <c r="E21" s="2669">
        <v>1</v>
      </c>
      <c r="F21" s="122"/>
      <c r="G21" s="27"/>
      <c r="H21" s="4"/>
      <c r="I21" s="4"/>
      <c r="J21" s="4"/>
      <c r="K21" s="4"/>
      <c r="L21" s="4"/>
      <c r="M21" s="134"/>
      <c r="N21" s="4"/>
      <c r="O21" s="4"/>
    </row>
    <row r="22" spans="1:15" s="1" customFormat="1" ht="15.75" hidden="1" customHeight="1">
      <c r="A22" s="340">
        <v>40787</v>
      </c>
      <c r="B22" s="607"/>
      <c r="C22" s="237">
        <v>1</v>
      </c>
      <c r="D22" s="237">
        <v>1</v>
      </c>
      <c r="E22" s="2669">
        <v>1</v>
      </c>
      <c r="F22" s="122"/>
      <c r="G22" s="27"/>
      <c r="H22" s="4"/>
      <c r="I22" s="4"/>
      <c r="J22" s="4"/>
      <c r="K22" s="4"/>
      <c r="L22" s="4"/>
      <c r="M22" s="134"/>
      <c r="N22" s="4"/>
      <c r="O22" s="4"/>
    </row>
    <row r="23" spans="1:15" s="1" customFormat="1" ht="15.75" hidden="1" customHeight="1">
      <c r="A23" s="340">
        <v>40817</v>
      </c>
      <c r="B23" s="607"/>
      <c r="C23" s="237">
        <v>1</v>
      </c>
      <c r="D23" s="237">
        <v>1</v>
      </c>
      <c r="E23" s="2669">
        <v>1</v>
      </c>
      <c r="F23" s="122"/>
      <c r="G23" s="27"/>
      <c r="H23" s="4"/>
      <c r="I23" s="4"/>
      <c r="J23" s="4"/>
      <c r="K23" s="4"/>
      <c r="L23" s="4"/>
      <c r="M23" s="134"/>
      <c r="N23" s="4"/>
    </row>
    <row r="24" spans="1:15" s="1" customFormat="1" ht="15.75" hidden="1" customHeight="1">
      <c r="A24" s="340">
        <v>40848</v>
      </c>
      <c r="B24" s="607"/>
      <c r="C24" s="237">
        <v>1</v>
      </c>
      <c r="D24" s="237">
        <v>1</v>
      </c>
      <c r="E24" s="2669">
        <v>1</v>
      </c>
      <c r="F24" s="122"/>
      <c r="G24" s="27"/>
      <c r="H24" s="4"/>
      <c r="I24" s="4"/>
      <c r="J24" s="4"/>
      <c r="K24" s="4"/>
      <c r="L24" s="4"/>
      <c r="M24" s="134"/>
      <c r="N24" s="4"/>
    </row>
    <row r="25" spans="1:15" s="1" customFormat="1" ht="15.75" hidden="1" customHeight="1">
      <c r="A25" s="340">
        <v>40878</v>
      </c>
      <c r="B25" s="607"/>
      <c r="C25" s="237">
        <v>1</v>
      </c>
      <c r="D25" s="237">
        <v>1</v>
      </c>
      <c r="E25" s="2669">
        <v>1</v>
      </c>
      <c r="F25" s="122"/>
      <c r="G25" s="27"/>
      <c r="H25" s="4"/>
      <c r="I25" s="4"/>
      <c r="J25" s="4"/>
      <c r="K25" s="4"/>
      <c r="L25" s="4"/>
      <c r="M25" s="134"/>
      <c r="N25" s="4"/>
    </row>
    <row r="26" spans="1:15" s="1" customFormat="1" ht="15.75" hidden="1" customHeight="1">
      <c r="A26" s="340">
        <v>40909</v>
      </c>
      <c r="B26" s="607">
        <v>0.27</v>
      </c>
      <c r="C26" s="237">
        <v>0.27</v>
      </c>
      <c r="D26" s="237">
        <v>1</v>
      </c>
      <c r="E26" s="2669">
        <v>1</v>
      </c>
      <c r="F26" s="122"/>
      <c r="G26" s="27"/>
      <c r="H26" s="4"/>
      <c r="I26" s="4"/>
      <c r="J26" s="4"/>
      <c r="K26" s="4"/>
      <c r="L26" s="4"/>
      <c r="M26" s="134"/>
      <c r="N26" s="4"/>
    </row>
    <row r="27" spans="1:15" s="1" customFormat="1" ht="15.75" hidden="1" customHeight="1">
      <c r="A27" s="340">
        <v>40940</v>
      </c>
      <c r="B27" s="607">
        <v>0.19</v>
      </c>
      <c r="C27" s="237">
        <v>0.19</v>
      </c>
      <c r="D27" s="237">
        <v>1</v>
      </c>
      <c r="E27" s="2669">
        <v>1</v>
      </c>
      <c r="F27" s="122"/>
      <c r="G27" s="27"/>
      <c r="H27" s="4"/>
      <c r="I27" s="4"/>
      <c r="J27" s="4"/>
      <c r="K27" s="4"/>
      <c r="L27" s="4"/>
      <c r="M27" s="134"/>
      <c r="N27" s="4"/>
      <c r="O27" s="4"/>
    </row>
    <row r="28" spans="1:15" s="1" customFormat="1" ht="15.75" hidden="1" customHeight="1">
      <c r="A28" s="340">
        <v>40969</v>
      </c>
      <c r="B28" s="607">
        <v>0.19</v>
      </c>
      <c r="C28" s="237">
        <v>0.19</v>
      </c>
      <c r="D28" s="237">
        <v>1</v>
      </c>
      <c r="E28" s="2669">
        <v>1</v>
      </c>
      <c r="F28" s="122"/>
      <c r="G28" s="27"/>
      <c r="H28" s="4"/>
      <c r="I28" s="4"/>
      <c r="J28" s="4"/>
      <c r="K28" s="4"/>
      <c r="L28" s="4"/>
      <c r="M28" s="134"/>
      <c r="N28" s="4"/>
      <c r="O28" s="4"/>
    </row>
    <row r="29" spans="1:15" s="1" customFormat="1" ht="15.75" hidden="1" customHeight="1">
      <c r="A29" s="340">
        <v>41000</v>
      </c>
      <c r="B29" s="607">
        <v>0.27</v>
      </c>
      <c r="C29" s="237">
        <v>0.27</v>
      </c>
      <c r="D29" s="237">
        <v>1</v>
      </c>
      <c r="E29" s="2669">
        <v>1</v>
      </c>
      <c r="F29" s="122"/>
      <c r="G29" s="27"/>
      <c r="H29" s="4"/>
      <c r="I29" s="4"/>
      <c r="J29" s="4"/>
      <c r="K29" s="4"/>
      <c r="L29" s="4"/>
      <c r="M29" s="134"/>
      <c r="N29" s="4"/>
      <c r="O29" s="4"/>
    </row>
    <row r="30" spans="1:15" s="1" customFormat="1" ht="15.75" hidden="1" customHeight="1">
      <c r="A30" s="340">
        <v>41030</v>
      </c>
      <c r="B30" s="607">
        <v>0.32</v>
      </c>
      <c r="C30" s="237">
        <v>0.32</v>
      </c>
      <c r="D30" s="237">
        <v>1</v>
      </c>
      <c r="E30" s="2669">
        <v>1</v>
      </c>
      <c r="F30" s="122"/>
      <c r="G30" s="27"/>
      <c r="H30" s="4"/>
      <c r="I30" s="4"/>
      <c r="J30" s="4"/>
      <c r="K30" s="4"/>
      <c r="L30" s="4"/>
      <c r="M30" s="134"/>
      <c r="N30" s="4"/>
      <c r="O30" s="4"/>
    </row>
    <row r="31" spans="1:15" s="1" customFormat="1" ht="15.75" hidden="1" customHeight="1">
      <c r="A31" s="340">
        <v>41061</v>
      </c>
      <c r="B31" s="607">
        <v>0.3</v>
      </c>
      <c r="C31" s="237">
        <v>0.3</v>
      </c>
      <c r="D31" s="237">
        <v>1</v>
      </c>
      <c r="E31" s="2669">
        <v>1</v>
      </c>
      <c r="F31" s="122"/>
      <c r="G31" s="27"/>
      <c r="H31" s="4"/>
      <c r="I31" s="4"/>
      <c r="J31" s="4"/>
      <c r="K31" s="4"/>
      <c r="L31" s="4"/>
      <c r="M31" s="134"/>
      <c r="N31" s="4"/>
      <c r="O31" s="4"/>
    </row>
    <row r="32" spans="1:15" s="1" customFormat="1" ht="18" hidden="1" customHeight="1">
      <c r="A32" s="340">
        <v>41091</v>
      </c>
      <c r="B32" s="608">
        <v>0.31</v>
      </c>
      <c r="C32" s="1811">
        <v>0.31</v>
      </c>
      <c r="D32" s="1811">
        <v>1</v>
      </c>
      <c r="E32" s="1812">
        <v>1</v>
      </c>
      <c r="F32" s="122"/>
      <c r="G32" s="27"/>
      <c r="H32" s="4"/>
      <c r="I32" s="4"/>
      <c r="J32" s="4"/>
      <c r="K32" s="4"/>
      <c r="L32" s="4"/>
      <c r="M32" s="134"/>
      <c r="N32" s="4"/>
      <c r="O32" s="4"/>
    </row>
    <row r="33" spans="1:46" s="1" customFormat="1" ht="18" hidden="1" customHeight="1">
      <c r="A33" s="340">
        <v>41122</v>
      </c>
      <c r="B33" s="608">
        <v>0.32</v>
      </c>
      <c r="C33" s="1811">
        <v>0.32</v>
      </c>
      <c r="D33" s="1811">
        <v>1</v>
      </c>
      <c r="E33" s="1812">
        <v>1</v>
      </c>
      <c r="F33" s="122"/>
      <c r="G33" s="27"/>
      <c r="H33" s="4"/>
      <c r="I33" s="4"/>
      <c r="J33" s="4"/>
      <c r="K33" s="4"/>
      <c r="L33" s="4"/>
      <c r="M33" s="134"/>
      <c r="N33" s="4"/>
      <c r="O33" s="4"/>
    </row>
    <row r="34" spans="1:46" s="1" customFormat="1" ht="18" hidden="1" customHeight="1">
      <c r="A34" s="340">
        <v>41153</v>
      </c>
      <c r="B34" s="608">
        <v>0.32</v>
      </c>
      <c r="C34" s="1811">
        <v>0.32</v>
      </c>
      <c r="D34" s="1811">
        <v>1</v>
      </c>
      <c r="E34" s="1812">
        <v>1</v>
      </c>
      <c r="F34" s="122"/>
      <c r="G34" s="27"/>
      <c r="H34" s="4"/>
      <c r="I34" s="4"/>
      <c r="J34" s="4"/>
      <c r="K34" s="4"/>
      <c r="L34" s="4"/>
      <c r="M34" s="134"/>
      <c r="N34" s="4"/>
      <c r="O34" s="4"/>
    </row>
    <row r="35" spans="1:46" s="1" customFormat="1" ht="18" hidden="1" customHeight="1">
      <c r="A35" s="340">
        <v>41183</v>
      </c>
      <c r="B35" s="608">
        <v>0.33</v>
      </c>
      <c r="C35" s="1811">
        <v>0.33</v>
      </c>
      <c r="D35" s="1811">
        <v>1</v>
      </c>
      <c r="E35" s="1812">
        <v>1</v>
      </c>
      <c r="F35" s="122"/>
      <c r="G35" s="27"/>
      <c r="H35" s="4"/>
      <c r="I35" s="4"/>
      <c r="J35" s="4"/>
      <c r="K35" s="4"/>
      <c r="L35" s="4"/>
      <c r="M35" s="134"/>
      <c r="N35" s="4"/>
      <c r="O35" s="4"/>
    </row>
    <row r="36" spans="1:46" s="1" customFormat="1" ht="18" hidden="1" customHeight="1">
      <c r="A36" s="340">
        <v>41214</v>
      </c>
      <c r="B36" s="608">
        <v>0.36</v>
      </c>
      <c r="C36" s="1811">
        <v>0.36</v>
      </c>
      <c r="D36" s="1811">
        <v>1</v>
      </c>
      <c r="E36" s="1812">
        <v>1</v>
      </c>
      <c r="F36" s="122"/>
      <c r="G36" s="27"/>
      <c r="H36" s="4"/>
      <c r="I36" s="4"/>
      <c r="J36" s="4"/>
      <c r="K36" s="4"/>
      <c r="L36" s="4"/>
      <c r="M36" s="134"/>
      <c r="N36" s="4"/>
      <c r="O36" s="4"/>
    </row>
    <row r="37" spans="1:46" s="1" customFormat="1" ht="18" hidden="1" customHeight="1">
      <c r="A37" s="340">
        <v>41244</v>
      </c>
      <c r="B37" s="608">
        <v>0.39</v>
      </c>
      <c r="C37" s="1811">
        <v>0.39</v>
      </c>
      <c r="D37" s="1811">
        <v>1</v>
      </c>
      <c r="E37" s="1812">
        <v>1</v>
      </c>
      <c r="F37" s="122"/>
      <c r="G37" s="27"/>
      <c r="H37" s="4"/>
      <c r="I37" s="4"/>
      <c r="J37" s="4"/>
      <c r="K37" s="4"/>
      <c r="L37" s="4"/>
      <c r="M37" s="134"/>
      <c r="N37" s="4"/>
      <c r="O37" s="4"/>
    </row>
    <row r="38" spans="1:46" s="1" customFormat="1" ht="19.5" hidden="1" customHeight="1">
      <c r="A38" s="340">
        <v>41275</v>
      </c>
      <c r="B38" s="608">
        <v>1.04</v>
      </c>
      <c r="C38" s="1811">
        <v>0.32</v>
      </c>
      <c r="D38" s="1811">
        <v>1</v>
      </c>
      <c r="E38" s="1812">
        <v>1</v>
      </c>
      <c r="F38" s="122"/>
      <c r="G38" s="27"/>
      <c r="H38" s="4"/>
      <c r="I38" s="4"/>
      <c r="J38" s="4"/>
      <c r="K38" s="4"/>
      <c r="L38" s="4"/>
      <c r="M38" s="134"/>
      <c r="N38" s="4"/>
      <c r="O38" s="4"/>
    </row>
    <row r="39" spans="1:46" s="1" customFormat="1" ht="19.5" hidden="1" customHeight="1">
      <c r="A39" s="340">
        <v>41306</v>
      </c>
      <c r="B39" s="608">
        <v>0.92</v>
      </c>
      <c r="C39" s="1811">
        <v>0.2</v>
      </c>
      <c r="D39" s="1811">
        <v>1</v>
      </c>
      <c r="E39" s="1812">
        <v>1</v>
      </c>
      <c r="F39" s="122"/>
      <c r="G39" s="27"/>
      <c r="H39" s="4"/>
      <c r="I39" s="4"/>
      <c r="J39" s="4"/>
      <c r="K39" s="4"/>
      <c r="L39" s="4"/>
      <c r="M39" s="134"/>
      <c r="N39" s="4"/>
      <c r="O39" s="4"/>
    </row>
    <row r="40" spans="1:46" s="1" customFormat="1" ht="19.5" hidden="1" customHeight="1" thickBot="1">
      <c r="A40" s="341">
        <v>41334</v>
      </c>
      <c r="B40" s="609">
        <v>0.87</v>
      </c>
      <c r="C40" s="2674">
        <v>0.14013999999999999</v>
      </c>
      <c r="D40" s="2674">
        <v>1</v>
      </c>
      <c r="E40" s="2675">
        <v>1</v>
      </c>
      <c r="F40" s="122"/>
      <c r="G40" s="27"/>
      <c r="H40" s="4"/>
      <c r="I40" s="4"/>
      <c r="J40" s="4"/>
      <c r="K40" s="4"/>
      <c r="L40" s="4"/>
      <c r="M40" s="134"/>
      <c r="N40" s="4"/>
      <c r="O40" s="4"/>
      <c r="AT40" s="1">
        <v>0</v>
      </c>
    </row>
    <row r="41" spans="1:46" s="1" customFormat="1" ht="19.5" hidden="1" customHeight="1">
      <c r="A41" s="342">
        <v>41365</v>
      </c>
      <c r="B41" s="610">
        <v>0.82</v>
      </c>
      <c r="C41" s="1813">
        <v>0.12864</v>
      </c>
      <c r="D41" s="1813">
        <v>0.9</v>
      </c>
      <c r="E41" s="1814">
        <v>1</v>
      </c>
      <c r="F41" s="122"/>
      <c r="G41" s="27"/>
      <c r="H41" s="4"/>
      <c r="I41" s="4"/>
      <c r="J41" s="4"/>
      <c r="K41" s="4"/>
      <c r="L41" s="4"/>
      <c r="M41" s="134"/>
      <c r="N41" s="4"/>
      <c r="O41" s="4"/>
    </row>
    <row r="42" spans="1:46" s="1" customFormat="1" ht="19.5" hidden="1" customHeight="1">
      <c r="A42" s="343">
        <v>41395</v>
      </c>
      <c r="B42" s="608">
        <v>0.77</v>
      </c>
      <c r="C42" s="1811">
        <v>0.34122000000000002</v>
      </c>
      <c r="D42" s="1811">
        <v>0.9</v>
      </c>
      <c r="E42" s="1812">
        <v>1</v>
      </c>
      <c r="F42" s="122"/>
      <c r="G42" s="27"/>
      <c r="H42" s="4"/>
      <c r="I42" s="4"/>
      <c r="J42" s="4"/>
      <c r="K42" s="4"/>
      <c r="L42" s="4"/>
      <c r="M42" s="134"/>
      <c r="N42" s="4"/>
      <c r="O42" s="4"/>
    </row>
    <row r="43" spans="1:46" s="1" customFormat="1" ht="19.5" hidden="1" customHeight="1" thickBot="1">
      <c r="A43" s="344">
        <v>41426</v>
      </c>
      <c r="B43" s="609">
        <v>0.71</v>
      </c>
      <c r="C43" s="2674">
        <v>0.32783417935702203</v>
      </c>
      <c r="D43" s="2674">
        <v>0.9</v>
      </c>
      <c r="E43" s="2675">
        <v>1</v>
      </c>
      <c r="F43" s="122"/>
      <c r="G43" s="27"/>
      <c r="H43" s="4"/>
      <c r="I43" s="4"/>
      <c r="J43" s="4"/>
      <c r="K43" s="4"/>
      <c r="L43" s="4"/>
      <c r="M43" s="134"/>
      <c r="N43" s="4"/>
      <c r="O43" s="4"/>
    </row>
    <row r="44" spans="1:46" s="1" customFormat="1" ht="19.5" hidden="1" customHeight="1" thickBot="1">
      <c r="A44" s="345">
        <v>41456</v>
      </c>
      <c r="B44" s="611">
        <v>0.61</v>
      </c>
      <c r="C44" s="1815">
        <v>0.27368421052631597</v>
      </c>
      <c r="D44" s="1815">
        <v>0.9</v>
      </c>
      <c r="E44" s="1816">
        <v>1</v>
      </c>
      <c r="F44" s="122"/>
      <c r="G44" s="27"/>
      <c r="H44" s="4"/>
      <c r="I44" s="4"/>
      <c r="J44" s="4"/>
      <c r="K44" s="4"/>
      <c r="L44" s="4"/>
      <c r="M44" s="134"/>
      <c r="N44" s="4"/>
      <c r="O44" s="4"/>
    </row>
    <row r="45" spans="1:46" s="1" customFormat="1" ht="19.5" hidden="1" customHeight="1">
      <c r="A45" s="342">
        <v>41487</v>
      </c>
      <c r="B45" s="610">
        <v>0.49</v>
      </c>
      <c r="C45" s="1813">
        <v>0.27290857562716497</v>
      </c>
      <c r="D45" s="1813">
        <v>0.9</v>
      </c>
      <c r="E45" s="1814">
        <v>1</v>
      </c>
      <c r="F45" s="122"/>
      <c r="G45" s="27"/>
      <c r="H45" s="4"/>
      <c r="I45" s="4"/>
      <c r="J45" s="4"/>
      <c r="K45" s="4"/>
      <c r="L45" s="4"/>
      <c r="M45" s="134"/>
      <c r="N45" s="4"/>
      <c r="O45" s="4"/>
    </row>
    <row r="46" spans="1:46" s="1" customFormat="1" ht="19.5" hidden="1" customHeight="1">
      <c r="A46" s="343">
        <v>41518</v>
      </c>
      <c r="B46" s="608">
        <v>0.42</v>
      </c>
      <c r="C46" s="1811">
        <v>0.16711928138709001</v>
      </c>
      <c r="D46" s="1811">
        <v>0.9</v>
      </c>
      <c r="E46" s="1812">
        <v>1</v>
      </c>
      <c r="F46" s="122"/>
      <c r="G46" s="27"/>
      <c r="H46" s="4"/>
      <c r="I46" s="4"/>
      <c r="J46" s="4"/>
      <c r="K46" s="4"/>
      <c r="L46" s="4"/>
      <c r="M46" s="134"/>
      <c r="N46" s="4"/>
      <c r="O46" s="4"/>
    </row>
    <row r="47" spans="1:46" s="1" customFormat="1" ht="19.5" hidden="1" customHeight="1">
      <c r="A47" s="343">
        <v>41548</v>
      </c>
      <c r="B47" s="608">
        <v>0.3</v>
      </c>
      <c r="C47" s="1811">
        <v>0.17678868552412599</v>
      </c>
      <c r="D47" s="1811">
        <v>0.9</v>
      </c>
      <c r="E47" s="1812">
        <v>1</v>
      </c>
      <c r="F47" s="122"/>
      <c r="G47" s="27"/>
      <c r="H47" s="4"/>
      <c r="I47" s="4"/>
      <c r="J47" s="4"/>
      <c r="K47" s="4"/>
      <c r="L47" s="4"/>
      <c r="M47" s="134"/>
      <c r="N47" s="4"/>
      <c r="O47" s="4"/>
    </row>
    <row r="48" spans="1:46" s="1" customFormat="1" ht="19.5" hidden="1" customHeight="1">
      <c r="A48" s="343">
        <v>41579</v>
      </c>
      <c r="B48" s="608">
        <v>0.24</v>
      </c>
      <c r="C48" s="1811">
        <v>0.113966017405719</v>
      </c>
      <c r="D48" s="1811">
        <v>0.9</v>
      </c>
      <c r="E48" s="1812">
        <v>1</v>
      </c>
      <c r="F48" s="122"/>
      <c r="G48" s="27"/>
      <c r="H48" s="4"/>
      <c r="I48" s="4"/>
      <c r="J48" s="4"/>
      <c r="K48" s="4"/>
      <c r="L48" s="4"/>
      <c r="M48" s="134"/>
      <c r="N48" s="4"/>
      <c r="O48" s="4"/>
    </row>
    <row r="49" spans="1:15" s="1" customFormat="1" ht="19.5" hidden="1" customHeight="1" thickBot="1">
      <c r="A49" s="344">
        <v>41609</v>
      </c>
      <c r="B49" s="609">
        <v>0.23</v>
      </c>
      <c r="C49" s="2674">
        <v>0.27843662988553203</v>
      </c>
      <c r="D49" s="2674">
        <v>0.9</v>
      </c>
      <c r="E49" s="2675">
        <v>1</v>
      </c>
      <c r="F49" s="122"/>
      <c r="G49" s="27"/>
      <c r="H49" s="4"/>
      <c r="I49" s="4"/>
      <c r="J49" s="4"/>
      <c r="K49" s="4"/>
      <c r="L49" s="4"/>
      <c r="M49" s="134"/>
      <c r="N49" s="4"/>
      <c r="O49" s="4"/>
    </row>
    <row r="50" spans="1:15" s="1" customFormat="1" ht="12.75" hidden="1">
      <c r="A50" s="342">
        <v>41640</v>
      </c>
      <c r="B50" s="610">
        <v>0.22</v>
      </c>
      <c r="C50" s="1813">
        <v>0.164592120152248</v>
      </c>
      <c r="D50" s="1813">
        <v>0.9</v>
      </c>
      <c r="E50" s="1814">
        <v>1</v>
      </c>
      <c r="F50" s="122"/>
      <c r="G50" s="27"/>
      <c r="H50" s="4"/>
      <c r="I50" s="4"/>
      <c r="J50" s="4"/>
      <c r="K50" s="4"/>
      <c r="L50" s="4"/>
      <c r="M50" s="134"/>
      <c r="N50" s="4"/>
      <c r="O50" s="4"/>
    </row>
    <row r="51" spans="1:15" s="1" customFormat="1" ht="12.75" hidden="1">
      <c r="A51" s="344">
        <v>41671</v>
      </c>
      <c r="B51" s="609">
        <v>0.22</v>
      </c>
      <c r="C51" s="2674">
        <v>0.172957574524367</v>
      </c>
      <c r="D51" s="2674">
        <v>0.9</v>
      </c>
      <c r="E51" s="2675">
        <v>1</v>
      </c>
      <c r="F51" s="122"/>
      <c r="G51" s="27"/>
      <c r="H51" s="4"/>
      <c r="I51" s="4"/>
      <c r="J51" s="4"/>
      <c r="K51" s="4"/>
      <c r="L51" s="4"/>
      <c r="M51" s="134"/>
      <c r="N51" s="4"/>
      <c r="O51" s="4"/>
    </row>
    <row r="52" spans="1:15" s="1" customFormat="1" ht="12.75" hidden="1">
      <c r="A52" s="342">
        <v>41699</v>
      </c>
      <c r="B52" s="613">
        <v>0.14000000000000001</v>
      </c>
      <c r="C52" s="612">
        <v>0.19</v>
      </c>
      <c r="D52" s="1813">
        <v>0.9</v>
      </c>
      <c r="E52" s="1814">
        <v>1</v>
      </c>
      <c r="F52" s="122"/>
      <c r="G52" s="27"/>
      <c r="H52" s="4"/>
      <c r="I52" s="4"/>
      <c r="J52" s="4"/>
      <c r="K52" s="4"/>
      <c r="L52" s="4"/>
      <c r="M52" s="134"/>
      <c r="N52" s="4"/>
      <c r="O52" s="4"/>
    </row>
    <row r="53" spans="1:15" s="1" customFormat="1" ht="12.75" hidden="1">
      <c r="A53" s="343">
        <v>41730</v>
      </c>
      <c r="B53" s="614">
        <v>0.08</v>
      </c>
      <c r="C53" s="615">
        <v>8.0563947633433997E-2</v>
      </c>
      <c r="D53" s="1811">
        <v>0.9</v>
      </c>
      <c r="E53" s="1812">
        <v>1</v>
      </c>
      <c r="F53" s="122"/>
      <c r="G53" s="27"/>
      <c r="H53" s="4"/>
      <c r="I53" s="4"/>
      <c r="J53" s="4"/>
      <c r="K53" s="4"/>
      <c r="L53" s="4"/>
      <c r="M53" s="134"/>
      <c r="N53" s="4"/>
      <c r="O53" s="4"/>
    </row>
    <row r="54" spans="1:15" s="1" customFormat="1" ht="12.75" hidden="1">
      <c r="A54" s="343">
        <v>41760</v>
      </c>
      <c r="B54" s="614">
        <v>0.09</v>
      </c>
      <c r="C54" s="615">
        <v>9.0881551045137801E-2</v>
      </c>
      <c r="D54" s="1811">
        <v>0.9</v>
      </c>
      <c r="E54" s="1812">
        <v>1</v>
      </c>
      <c r="F54" s="122"/>
      <c r="G54" s="27"/>
      <c r="H54" s="4"/>
      <c r="I54" s="4"/>
      <c r="J54" s="4"/>
      <c r="K54" s="4"/>
      <c r="L54" s="4"/>
      <c r="M54" s="134"/>
      <c r="N54" s="4"/>
      <c r="O54" s="4"/>
    </row>
    <row r="55" spans="1:15" s="1" customFormat="1" ht="12.75" hidden="1">
      <c r="A55" s="441">
        <v>41791</v>
      </c>
      <c r="B55" s="616">
        <f>SUM(C44:C55)/12</f>
        <v>0.17604817727381025</v>
      </c>
      <c r="C55" s="617">
        <v>0.130679533574588</v>
      </c>
      <c r="D55" s="2674">
        <v>0.9</v>
      </c>
      <c r="E55" s="2675">
        <v>1</v>
      </c>
      <c r="F55" s="122"/>
      <c r="G55" s="27"/>
      <c r="H55" s="4"/>
      <c r="I55" s="4"/>
      <c r="J55" s="4"/>
      <c r="K55" s="4"/>
      <c r="L55" s="4"/>
      <c r="M55" s="134"/>
      <c r="N55" s="4"/>
      <c r="O55" s="4"/>
    </row>
    <row r="56" spans="1:15" s="1" customFormat="1" ht="12.75" hidden="1">
      <c r="A56" s="442">
        <v>41821</v>
      </c>
      <c r="B56" s="616">
        <f>SUM(C45:C56)/12</f>
        <v>0.16072618967007032</v>
      </c>
      <c r="C56" s="617">
        <v>8.9820359281437098E-2</v>
      </c>
      <c r="D56" s="2674">
        <v>0.9</v>
      </c>
      <c r="E56" s="2675">
        <v>1</v>
      </c>
      <c r="F56" s="122"/>
      <c r="G56" s="27"/>
      <c r="H56" s="4"/>
      <c r="I56" s="4"/>
      <c r="J56" s="4"/>
      <c r="K56" s="4"/>
      <c r="L56" s="4"/>
      <c r="M56" s="134"/>
      <c r="N56" s="4"/>
      <c r="O56" s="4"/>
    </row>
    <row r="57" spans="1:15" s="1" customFormat="1" ht="12.75" hidden="1">
      <c r="A57" s="508">
        <v>41852</v>
      </c>
      <c r="B57" s="616">
        <f t="shared" ref="B57:B70" si="0">SUM(C46:C57)/12</f>
        <v>0.15450672565408266</v>
      </c>
      <c r="C57" s="617">
        <v>0.19827500743531301</v>
      </c>
      <c r="D57" s="2674">
        <v>0.9</v>
      </c>
      <c r="E57" s="2675">
        <v>1</v>
      </c>
      <c r="F57" s="122"/>
      <c r="G57" s="27"/>
      <c r="H57" s="4"/>
      <c r="I57" s="4"/>
      <c r="J57" s="4"/>
      <c r="K57" s="4"/>
      <c r="L57" s="4"/>
      <c r="M57" s="134"/>
      <c r="N57" s="4"/>
      <c r="O57" s="4"/>
    </row>
    <row r="58" spans="1:15" s="1" customFormat="1" ht="12.75" hidden="1">
      <c r="A58" s="508">
        <v>41883</v>
      </c>
      <c r="B58" s="616">
        <f t="shared" si="0"/>
        <v>0.14386840271648663</v>
      </c>
      <c r="C58" s="617">
        <v>3.9459406135937701E-2</v>
      </c>
      <c r="D58" s="2674">
        <v>0.9</v>
      </c>
      <c r="E58" s="2675">
        <v>1</v>
      </c>
      <c r="F58" s="122"/>
      <c r="G58" s="27"/>
      <c r="H58" s="4"/>
      <c r="I58" s="4"/>
      <c r="J58" s="4"/>
      <c r="K58" s="4"/>
      <c r="L58" s="4"/>
      <c r="M58" s="134"/>
      <c r="N58" s="4"/>
      <c r="O58" s="4"/>
    </row>
    <row r="59" spans="1:15" s="1" customFormat="1" ht="12.75" hidden="1">
      <c r="A59" s="508">
        <v>41913</v>
      </c>
      <c r="B59" s="616">
        <f t="shared" si="0"/>
        <v>0.1340442286103197</v>
      </c>
      <c r="C59" s="617">
        <v>5.8898596250122698E-2</v>
      </c>
      <c r="D59" s="2674">
        <v>0.9</v>
      </c>
      <c r="E59" s="2675">
        <v>1</v>
      </c>
      <c r="F59" s="122"/>
      <c r="G59" s="27"/>
      <c r="H59" s="4"/>
      <c r="I59" s="4"/>
      <c r="J59" s="4"/>
      <c r="K59" s="4"/>
      <c r="L59" s="4"/>
      <c r="M59" s="134"/>
      <c r="N59" s="4"/>
      <c r="O59" s="4"/>
    </row>
    <row r="60" spans="1:15" s="1" customFormat="1" ht="12.75" hidden="1">
      <c r="A60" s="508">
        <v>41944</v>
      </c>
      <c r="B60" s="616">
        <f t="shared" si="0"/>
        <v>0.12945527684735333</v>
      </c>
      <c r="C60" s="617">
        <v>5.8898596250122698E-2</v>
      </c>
      <c r="D60" s="2674">
        <v>0.9</v>
      </c>
      <c r="E60" s="2675">
        <v>1</v>
      </c>
      <c r="F60" s="122"/>
      <c r="G60" s="27"/>
      <c r="H60" s="4"/>
      <c r="I60" s="4"/>
      <c r="J60" s="4"/>
      <c r="K60" s="4"/>
      <c r="L60" s="4"/>
      <c r="M60" s="134"/>
      <c r="N60" s="4"/>
      <c r="O60" s="4"/>
    </row>
    <row r="61" spans="1:15" s="1" customFormat="1" ht="12.75" hidden="1">
      <c r="A61" s="508">
        <v>41974</v>
      </c>
      <c r="B61" s="616">
        <f t="shared" si="0"/>
        <v>0.11356287841674223</v>
      </c>
      <c r="C61" s="617">
        <v>8.7727848718198706E-2</v>
      </c>
      <c r="D61" s="2674">
        <v>0.9</v>
      </c>
      <c r="E61" s="2675">
        <v>1</v>
      </c>
      <c r="F61" s="122"/>
      <c r="G61" s="27"/>
      <c r="H61" s="4"/>
      <c r="I61" s="4"/>
      <c r="J61" s="4"/>
      <c r="K61" s="4"/>
      <c r="L61" s="4"/>
      <c r="M61" s="134"/>
      <c r="N61" s="4"/>
      <c r="O61" s="4"/>
    </row>
    <row r="62" spans="1:15" s="1" customFormat="1" ht="12.75" hidden="1">
      <c r="A62" s="647">
        <v>42005</v>
      </c>
      <c r="B62" s="620">
        <f>SUM(C51:C62)/12</f>
        <v>0.10631433703683203</v>
      </c>
      <c r="C62" s="648">
        <v>7.76096235933256E-2</v>
      </c>
      <c r="D62" s="1815">
        <v>0.9</v>
      </c>
      <c r="E62" s="1816">
        <v>1</v>
      </c>
      <c r="F62" s="122"/>
      <c r="G62" s="27"/>
      <c r="H62" s="4"/>
      <c r="I62" s="4"/>
      <c r="J62" s="4"/>
      <c r="K62" s="4"/>
      <c r="L62" s="4"/>
      <c r="M62" s="134"/>
      <c r="N62" s="4"/>
      <c r="O62" s="4"/>
    </row>
    <row r="63" spans="1:15" s="1" customFormat="1" ht="12.75" hidden="1">
      <c r="A63" s="509">
        <v>42036</v>
      </c>
      <c r="B63" s="620">
        <f>SUM(C52:C63)/12</f>
        <v>9.6747575895286583E-2</v>
      </c>
      <c r="C63" s="612">
        <v>5.8156440825821498E-2</v>
      </c>
      <c r="D63" s="1813">
        <v>0.9</v>
      </c>
      <c r="E63" s="1814">
        <v>1</v>
      </c>
      <c r="F63" s="122"/>
      <c r="G63" s="27"/>
      <c r="H63" s="4"/>
      <c r="I63" s="4"/>
      <c r="J63" s="4"/>
      <c r="K63" s="4"/>
      <c r="L63" s="4"/>
      <c r="M63" s="134"/>
      <c r="N63" s="4"/>
      <c r="O63" s="4"/>
    </row>
    <row r="64" spans="1:15" s="1" customFormat="1" ht="12.75" hidden="1">
      <c r="A64" s="510">
        <v>42064</v>
      </c>
      <c r="B64" s="616">
        <f>SUM(C53:C64)/12</f>
        <v>8.3414242561953234E-2</v>
      </c>
      <c r="C64" s="615">
        <v>0.03</v>
      </c>
      <c r="D64" s="1811">
        <v>0.9</v>
      </c>
      <c r="E64" s="1812">
        <v>1</v>
      </c>
      <c r="F64" s="122"/>
      <c r="G64" s="27"/>
      <c r="H64" s="4"/>
      <c r="I64" s="4"/>
      <c r="J64" s="4"/>
      <c r="K64" s="4"/>
      <c r="L64" s="4"/>
      <c r="M64" s="134"/>
      <c r="N64" s="4"/>
      <c r="O64" s="4"/>
    </row>
    <row r="65" spans="1:15" s="1" customFormat="1" ht="12.75" hidden="1">
      <c r="A65" s="510">
        <v>42095</v>
      </c>
      <c r="B65" s="616">
        <f t="shared" si="0"/>
        <v>8.5867246925833737E-2</v>
      </c>
      <c r="C65" s="615">
        <v>0.11</v>
      </c>
      <c r="D65" s="1811">
        <v>0.9</v>
      </c>
      <c r="E65" s="1812">
        <v>1</v>
      </c>
      <c r="F65" s="122"/>
      <c r="G65" s="27"/>
      <c r="H65" s="4"/>
      <c r="I65" s="4"/>
      <c r="J65" s="4"/>
      <c r="K65" s="4"/>
      <c r="L65" s="4"/>
      <c r="M65" s="134"/>
      <c r="N65" s="4"/>
      <c r="O65" s="4"/>
    </row>
    <row r="66" spans="1:15" s="1" customFormat="1" ht="12.75" hidden="1">
      <c r="A66" s="510">
        <v>42125</v>
      </c>
      <c r="B66" s="616">
        <f t="shared" si="0"/>
        <v>8.0793784338738919E-2</v>
      </c>
      <c r="C66" s="615">
        <v>0.03</v>
      </c>
      <c r="D66" s="1811">
        <v>0.9</v>
      </c>
      <c r="E66" s="1812">
        <v>1</v>
      </c>
      <c r="F66" s="122"/>
      <c r="G66" s="27"/>
      <c r="H66" s="4"/>
      <c r="I66" s="4"/>
      <c r="J66" s="4"/>
      <c r="K66" s="4"/>
      <c r="L66" s="4"/>
      <c r="M66" s="134"/>
      <c r="N66" s="4"/>
      <c r="O66" s="4"/>
    </row>
    <row r="67" spans="1:15" s="1" customFormat="1" ht="12.75" hidden="1">
      <c r="A67" s="510">
        <v>42156</v>
      </c>
      <c r="B67" s="616">
        <f>SUM(C56:C67)/12</f>
        <v>7.9070489874189923E-2</v>
      </c>
      <c r="C67" s="615">
        <v>0.11</v>
      </c>
      <c r="D67" s="1811">
        <v>0.9</v>
      </c>
      <c r="E67" s="1812">
        <v>1</v>
      </c>
      <c r="F67" s="122"/>
      <c r="G67" s="27"/>
      <c r="H67" s="4"/>
      <c r="I67" s="4"/>
      <c r="J67" s="4"/>
      <c r="K67" s="4"/>
      <c r="L67" s="4"/>
      <c r="M67" s="134"/>
      <c r="N67" s="4"/>
      <c r="O67" s="4"/>
    </row>
    <row r="68" spans="1:15" s="1" customFormat="1" ht="12.75" hidden="1">
      <c r="A68" s="510">
        <v>42186</v>
      </c>
      <c r="B68" s="616">
        <f t="shared" si="0"/>
        <v>7.991879326740349E-2</v>
      </c>
      <c r="C68" s="615">
        <v>0.1</v>
      </c>
      <c r="D68" s="1811">
        <v>0.9</v>
      </c>
      <c r="E68" s="1812">
        <v>1</v>
      </c>
      <c r="F68" s="122"/>
      <c r="G68" s="27"/>
      <c r="H68" s="4"/>
      <c r="I68" s="4"/>
      <c r="J68" s="4"/>
      <c r="K68" s="4"/>
      <c r="L68" s="4"/>
      <c r="M68" s="134"/>
      <c r="N68" s="4"/>
      <c r="O68" s="4"/>
    </row>
    <row r="69" spans="1:15" s="1" customFormat="1" ht="12.75" hidden="1">
      <c r="A69" s="510">
        <v>42217</v>
      </c>
      <c r="B69" s="616">
        <f t="shared" si="0"/>
        <v>6.9229209314460749E-2</v>
      </c>
      <c r="C69" s="615">
        <v>7.0000000000000007E-2</v>
      </c>
      <c r="D69" s="1811">
        <v>0.9</v>
      </c>
      <c r="E69" s="1812">
        <v>1</v>
      </c>
      <c r="F69" s="122"/>
      <c r="G69" s="27"/>
      <c r="H69" s="4"/>
      <c r="I69" s="4"/>
      <c r="J69" s="4"/>
      <c r="K69" s="4"/>
      <c r="L69" s="4"/>
      <c r="M69" s="134"/>
      <c r="N69" s="4"/>
      <c r="O69" s="4"/>
    </row>
    <row r="70" spans="1:15" s="1" customFormat="1" ht="12.75" hidden="1">
      <c r="A70" s="510">
        <v>42248</v>
      </c>
      <c r="B70" s="616">
        <f t="shared" si="0"/>
        <v>7.8440925469799277E-2</v>
      </c>
      <c r="C70" s="615">
        <v>0.15</v>
      </c>
      <c r="D70" s="1811">
        <v>0.9</v>
      </c>
      <c r="E70" s="1812">
        <v>1</v>
      </c>
      <c r="F70" s="122"/>
      <c r="G70" s="27"/>
      <c r="H70" s="4"/>
      <c r="I70" s="4"/>
      <c r="J70" s="4"/>
      <c r="K70" s="4"/>
      <c r="L70" s="4"/>
      <c r="M70" s="134"/>
      <c r="N70" s="4"/>
      <c r="O70" s="4"/>
    </row>
    <row r="71" spans="1:15" s="1" customFormat="1" ht="12.75" hidden="1">
      <c r="A71" s="510">
        <v>42278</v>
      </c>
      <c r="B71" s="616">
        <f>SUM(C60:C71)/12</f>
        <v>8.6866042448955724E-2</v>
      </c>
      <c r="C71" s="615">
        <v>0.16</v>
      </c>
      <c r="D71" s="1811">
        <v>0.9</v>
      </c>
      <c r="E71" s="1812">
        <v>1</v>
      </c>
      <c r="F71" s="122"/>
      <c r="G71" s="27"/>
      <c r="H71" s="4"/>
      <c r="I71" s="4"/>
      <c r="J71" s="4"/>
      <c r="K71" s="4"/>
      <c r="L71" s="4"/>
      <c r="M71" s="134"/>
      <c r="N71" s="4"/>
      <c r="O71" s="4"/>
    </row>
    <row r="72" spans="1:15" s="1" customFormat="1" ht="12.75" hidden="1">
      <c r="A72" s="510">
        <v>42309</v>
      </c>
      <c r="B72" s="616">
        <f>SUM(C61:C72)/12</f>
        <v>9.0291159428112167E-2</v>
      </c>
      <c r="C72" s="615">
        <v>0.1</v>
      </c>
      <c r="D72" s="1811">
        <v>0.9</v>
      </c>
      <c r="E72" s="1812">
        <v>1</v>
      </c>
      <c r="F72" s="122"/>
      <c r="G72" s="27"/>
      <c r="H72" s="4"/>
      <c r="I72" s="4"/>
      <c r="J72" s="4"/>
      <c r="K72" s="4"/>
      <c r="L72" s="4"/>
      <c r="M72" s="134"/>
      <c r="N72" s="4"/>
      <c r="O72" s="4"/>
    </row>
    <row r="73" spans="1:15" s="1" customFormat="1" ht="12.75" hidden="1">
      <c r="A73" s="510">
        <v>42339</v>
      </c>
      <c r="B73" s="616">
        <f t="shared" ref="B73:B79" si="1">SUM(C62:C73)/12</f>
        <v>8.9970253737320982E-2</v>
      </c>
      <c r="C73" s="615">
        <v>8.3876980428704603E-2</v>
      </c>
      <c r="D73" s="1811">
        <v>0.9</v>
      </c>
      <c r="E73" s="1812">
        <v>1</v>
      </c>
      <c r="F73" s="122"/>
      <c r="G73" s="27"/>
      <c r="H73" s="4"/>
      <c r="I73" s="4"/>
      <c r="J73" s="4"/>
      <c r="K73" s="4"/>
      <c r="L73" s="4"/>
      <c r="M73" s="134"/>
      <c r="N73" s="4"/>
      <c r="O73" s="4"/>
    </row>
    <row r="74" spans="1:15" s="1" customFormat="1" ht="12.75" hidden="1">
      <c r="A74" s="508">
        <v>42370</v>
      </c>
      <c r="B74" s="616">
        <f t="shared" si="1"/>
        <v>0.10049697618104859</v>
      </c>
      <c r="C74" s="617">
        <v>0.203930292918057</v>
      </c>
      <c r="D74" s="2674">
        <v>0.9</v>
      </c>
      <c r="E74" s="2675">
        <v>1</v>
      </c>
      <c r="F74" s="122"/>
      <c r="G74" s="27"/>
      <c r="H74" s="4"/>
      <c r="I74" s="4"/>
      <c r="J74" s="4"/>
      <c r="K74" s="4"/>
      <c r="L74" s="4"/>
      <c r="M74" s="134"/>
      <c r="N74" s="4"/>
      <c r="O74" s="4"/>
    </row>
    <row r="75" spans="1:15" s="1" customFormat="1" ht="12.75" hidden="1">
      <c r="A75" s="508">
        <v>42401</v>
      </c>
      <c r="B75" s="616">
        <f t="shared" si="1"/>
        <v>9.9511490718111037E-2</v>
      </c>
      <c r="C75" s="617">
        <v>4.63306152705708E-2</v>
      </c>
      <c r="D75" s="2674">
        <v>0.9</v>
      </c>
      <c r="E75" s="2675">
        <v>1</v>
      </c>
      <c r="F75" s="122"/>
      <c r="G75" s="27"/>
      <c r="H75" s="4"/>
      <c r="I75" s="4"/>
      <c r="J75" s="4"/>
      <c r="K75" s="4"/>
      <c r="L75" s="4"/>
      <c r="M75" s="134"/>
      <c r="N75" s="4"/>
      <c r="O75" s="4"/>
    </row>
    <row r="76" spans="1:15" s="1" customFormat="1" ht="12.75" hidden="1">
      <c r="A76" s="508">
        <v>42430</v>
      </c>
      <c r="B76" s="616">
        <f t="shared" si="1"/>
        <v>9.9320532927402616E-2</v>
      </c>
      <c r="C76" s="617">
        <v>2.7708506511499E-2</v>
      </c>
      <c r="D76" s="2674">
        <v>0.9</v>
      </c>
      <c r="E76" s="2675">
        <v>1</v>
      </c>
      <c r="F76" s="122"/>
      <c r="G76" s="27"/>
      <c r="H76" s="4"/>
      <c r="I76" s="4"/>
      <c r="J76" s="4"/>
      <c r="K76" s="4"/>
      <c r="L76" s="4"/>
      <c r="M76" s="134"/>
      <c r="N76" s="4"/>
      <c r="O76" s="4"/>
    </row>
    <row r="77" spans="1:15" s="1" customFormat="1" ht="12.75" hidden="1">
      <c r="A77" s="508">
        <v>42461</v>
      </c>
      <c r="B77" s="616">
        <f>SUM(C66:C77)/12</f>
        <v>0.10182053292740263</v>
      </c>
      <c r="C77" s="617">
        <v>0.14000000000000001</v>
      </c>
      <c r="D77" s="2674">
        <v>0.9</v>
      </c>
      <c r="E77" s="2675">
        <v>1</v>
      </c>
      <c r="F77" s="122"/>
      <c r="G77" s="27"/>
      <c r="H77" s="4"/>
      <c r="I77" s="4"/>
      <c r="J77" s="4"/>
      <c r="K77" s="4"/>
      <c r="L77" s="4"/>
      <c r="M77" s="134"/>
      <c r="N77" s="4"/>
      <c r="O77" s="4"/>
    </row>
    <row r="78" spans="1:15" s="1" customFormat="1" ht="12.75" hidden="1">
      <c r="A78" s="508">
        <v>42491</v>
      </c>
      <c r="B78" s="616">
        <f t="shared" si="1"/>
        <v>0.11078526740415212</v>
      </c>
      <c r="C78" s="617">
        <v>0.13757681372099401</v>
      </c>
      <c r="D78" s="2674">
        <v>0.9</v>
      </c>
      <c r="E78" s="2675">
        <v>1</v>
      </c>
      <c r="F78" s="122"/>
      <c r="G78" s="27"/>
      <c r="H78" s="4"/>
      <c r="I78" s="4"/>
      <c r="J78" s="4"/>
      <c r="K78" s="4"/>
      <c r="L78" s="4"/>
      <c r="M78" s="134"/>
      <c r="N78" s="4"/>
      <c r="O78" s="4"/>
    </row>
    <row r="79" spans="1:15" s="1" customFormat="1" ht="12.75" hidden="1">
      <c r="A79" s="508">
        <v>42522</v>
      </c>
      <c r="B79" s="616">
        <f t="shared" si="1"/>
        <v>0.10828526740415213</v>
      </c>
      <c r="C79" s="617">
        <v>0.08</v>
      </c>
      <c r="D79" s="2674">
        <v>0.9</v>
      </c>
      <c r="E79" s="2675">
        <v>1</v>
      </c>
      <c r="F79" s="122"/>
      <c r="G79" s="27"/>
      <c r="H79" s="4"/>
      <c r="I79" s="4"/>
      <c r="J79" s="4"/>
      <c r="K79" s="4"/>
      <c r="L79" s="4"/>
      <c r="M79" s="134"/>
      <c r="N79" s="4"/>
      <c r="O79" s="4"/>
    </row>
    <row r="80" spans="1:15" s="1" customFormat="1" ht="12.75" hidden="1">
      <c r="A80" s="508">
        <v>42552</v>
      </c>
      <c r="B80" s="616">
        <v>0.10745193407081881</v>
      </c>
      <c r="C80" s="617">
        <v>0.09</v>
      </c>
      <c r="D80" s="2674">
        <v>0.9</v>
      </c>
      <c r="E80" s="2675">
        <v>1</v>
      </c>
      <c r="F80" s="122"/>
      <c r="G80" s="27"/>
      <c r="H80" s="4"/>
      <c r="I80" s="4"/>
      <c r="J80" s="4"/>
      <c r="K80" s="4"/>
      <c r="L80" s="4"/>
      <c r="M80" s="134"/>
      <c r="N80" s="4"/>
      <c r="O80" s="4"/>
    </row>
    <row r="81" spans="1:15" s="1" customFormat="1" ht="12.75" hidden="1">
      <c r="A81" s="508">
        <v>42583</v>
      </c>
      <c r="B81" s="616">
        <v>0.10745193407081881</v>
      </c>
      <c r="C81" s="617">
        <v>7.0000000000000007E-2</v>
      </c>
      <c r="D81" s="2674">
        <v>0.9</v>
      </c>
      <c r="E81" s="2675">
        <v>1</v>
      </c>
      <c r="F81" s="122"/>
      <c r="G81" s="27"/>
      <c r="H81" s="4"/>
      <c r="I81" s="4"/>
      <c r="J81" s="4"/>
      <c r="K81" s="4"/>
      <c r="L81" s="4"/>
      <c r="M81" s="134"/>
      <c r="N81" s="4"/>
      <c r="O81" s="4"/>
    </row>
    <row r="82" spans="1:15" s="1" customFormat="1" ht="12.75" hidden="1">
      <c r="A82" s="508">
        <v>42614</v>
      </c>
      <c r="B82" s="616">
        <v>0.1024519340708188</v>
      </c>
      <c r="C82" s="617">
        <v>0.09</v>
      </c>
      <c r="D82" s="2674">
        <v>0.9</v>
      </c>
      <c r="E82" s="2675">
        <v>1</v>
      </c>
      <c r="F82" s="122"/>
      <c r="G82" s="27"/>
      <c r="H82" s="4"/>
      <c r="I82" s="4"/>
      <c r="J82" s="4"/>
      <c r="K82" s="4"/>
      <c r="L82" s="4"/>
      <c r="M82" s="134"/>
      <c r="N82" s="4"/>
      <c r="O82" s="4"/>
    </row>
    <row r="83" spans="1:15" s="1" customFormat="1" ht="12.75" hidden="1">
      <c r="A83" s="508">
        <v>42644</v>
      </c>
      <c r="B83" s="614">
        <f>SUM(C72:C83)/12</f>
        <v>9.4118600737485458E-2</v>
      </c>
      <c r="C83" s="617">
        <v>0.06</v>
      </c>
      <c r="D83" s="1811">
        <v>0.9</v>
      </c>
      <c r="E83" s="1812">
        <v>1</v>
      </c>
      <c r="F83" s="122"/>
      <c r="G83" s="27"/>
      <c r="H83" s="4"/>
      <c r="I83" s="4"/>
      <c r="J83" s="4"/>
      <c r="K83" s="4"/>
      <c r="L83" s="4"/>
      <c r="M83" s="134"/>
      <c r="N83" s="4"/>
      <c r="O83" s="4"/>
    </row>
    <row r="84" spans="1:15" s="1" customFormat="1" ht="12.75" hidden="1">
      <c r="A84" s="508">
        <v>42675</v>
      </c>
      <c r="B84" s="614">
        <f>SUM(C73:C84)/12</f>
        <v>8.9118600737485454E-2</v>
      </c>
      <c r="C84" s="617">
        <v>0.04</v>
      </c>
      <c r="D84" s="1811">
        <v>0.9</v>
      </c>
      <c r="E84" s="1812">
        <v>1</v>
      </c>
      <c r="F84" s="122"/>
      <c r="G84" s="27"/>
      <c r="H84" s="4"/>
      <c r="I84" s="4"/>
      <c r="J84" s="4"/>
      <c r="K84" s="4"/>
      <c r="L84" s="4"/>
      <c r="M84" s="134"/>
      <c r="N84" s="4"/>
      <c r="O84" s="4"/>
    </row>
    <row r="85" spans="1:15" s="1" customFormat="1" ht="14.25" hidden="1" customHeight="1">
      <c r="A85" s="508">
        <v>42705</v>
      </c>
      <c r="B85" s="616">
        <f>SUM(C74:C85)/12</f>
        <v>8.2962185701760061E-2</v>
      </c>
      <c r="C85" s="617">
        <v>0.01</v>
      </c>
      <c r="D85" s="2674">
        <v>0.9</v>
      </c>
      <c r="E85" s="2675">
        <v>1</v>
      </c>
      <c r="F85" s="122"/>
      <c r="G85" s="27"/>
      <c r="H85" s="4"/>
      <c r="I85" s="4"/>
      <c r="J85" s="4"/>
      <c r="K85" s="4"/>
      <c r="L85" s="4"/>
      <c r="M85" s="134"/>
      <c r="N85" s="4"/>
      <c r="O85" s="4"/>
    </row>
    <row r="86" spans="1:15" s="1" customFormat="1" ht="13.5" hidden="1" customHeight="1">
      <c r="A86" s="1245">
        <v>42736</v>
      </c>
      <c r="B86" s="1246">
        <f>SUM(C75:C86)/12</f>
        <v>6.7634661291921985E-2</v>
      </c>
      <c r="C86" s="612">
        <v>0.02</v>
      </c>
      <c r="D86" s="1813">
        <v>0.9</v>
      </c>
      <c r="E86" s="1814">
        <v>1</v>
      </c>
      <c r="F86" s="122"/>
      <c r="G86" s="27"/>
      <c r="H86" s="4"/>
      <c r="I86" s="4"/>
      <c r="J86" s="4"/>
      <c r="K86" s="4"/>
      <c r="L86" s="4"/>
      <c r="M86" s="134"/>
      <c r="N86" s="4"/>
      <c r="O86" s="4"/>
    </row>
    <row r="87" spans="1:15" s="1" customFormat="1" ht="13.5" hidden="1" customHeight="1">
      <c r="A87" s="1327">
        <v>42767</v>
      </c>
      <c r="B87" s="1247">
        <v>7.0000000000000007E-2</v>
      </c>
      <c r="C87" s="615">
        <v>0.03</v>
      </c>
      <c r="D87" s="1811">
        <v>0.9</v>
      </c>
      <c r="E87" s="1812">
        <v>1</v>
      </c>
      <c r="F87" s="122"/>
      <c r="G87" s="27"/>
      <c r="H87" s="4"/>
      <c r="I87" s="4"/>
      <c r="J87" s="4"/>
      <c r="K87" s="4"/>
      <c r="L87" s="4"/>
      <c r="M87" s="134"/>
      <c r="N87" s="4"/>
      <c r="O87" s="4"/>
    </row>
    <row r="88" spans="1:15" s="1" customFormat="1" ht="13.5" hidden="1" customHeight="1">
      <c r="A88" s="1328">
        <v>42795</v>
      </c>
      <c r="B88" s="1284">
        <v>6.6464734476749499E-2</v>
      </c>
      <c r="C88" s="617">
        <v>0.03</v>
      </c>
      <c r="D88" s="2674">
        <v>0.9</v>
      </c>
      <c r="E88" s="2675">
        <v>1</v>
      </c>
      <c r="F88" s="122"/>
      <c r="G88" s="27"/>
      <c r="H88" s="4"/>
      <c r="I88" s="4"/>
      <c r="J88" s="4"/>
      <c r="K88" s="4"/>
      <c r="L88" s="4"/>
      <c r="M88" s="134"/>
      <c r="N88" s="4"/>
      <c r="O88" s="4"/>
    </row>
    <row r="89" spans="1:15" s="1" customFormat="1" ht="13.5" hidden="1" customHeight="1">
      <c r="A89" s="2475">
        <v>42826</v>
      </c>
      <c r="B89" s="1800">
        <v>5.7298067810082842E-2</v>
      </c>
      <c r="C89" s="648">
        <v>0.03</v>
      </c>
      <c r="D89" s="1815">
        <v>0.9</v>
      </c>
      <c r="E89" s="1816">
        <v>1</v>
      </c>
      <c r="F89" s="122"/>
      <c r="G89" s="27"/>
      <c r="H89" s="4"/>
      <c r="I89" s="4"/>
      <c r="J89" s="4"/>
      <c r="K89" s="4"/>
      <c r="L89" s="4"/>
      <c r="M89" s="134"/>
      <c r="N89" s="4"/>
      <c r="O89" s="4"/>
    </row>
    <row r="90" spans="1:15" s="1" customFormat="1" ht="13.5" hidden="1" customHeight="1">
      <c r="A90" s="1328">
        <v>42856</v>
      </c>
      <c r="B90" s="1800">
        <v>4.8333333333333339E-2</v>
      </c>
      <c r="C90" s="2593">
        <v>0.03</v>
      </c>
      <c r="D90" s="1815">
        <v>0.9</v>
      </c>
      <c r="E90" s="1816">
        <v>1</v>
      </c>
      <c r="F90" s="122"/>
      <c r="G90" s="27"/>
      <c r="H90" s="4"/>
      <c r="I90" s="4"/>
      <c r="J90" s="4"/>
      <c r="K90" s="4"/>
      <c r="L90" s="4"/>
      <c r="M90" s="134"/>
      <c r="N90" s="4"/>
      <c r="O90" s="4"/>
    </row>
    <row r="91" spans="1:15" s="1" customFormat="1" ht="13.5" hidden="1" customHeight="1">
      <c r="A91" s="1329">
        <v>42887</v>
      </c>
      <c r="B91" s="1246">
        <v>4.7500000000000007E-2</v>
      </c>
      <c r="C91" s="2309">
        <v>7.0000000000000007E-2</v>
      </c>
      <c r="D91" s="1813">
        <v>0.9</v>
      </c>
      <c r="E91" s="1814">
        <v>1</v>
      </c>
      <c r="F91" s="122"/>
      <c r="G91" s="27"/>
      <c r="H91" s="4"/>
      <c r="I91" s="4"/>
      <c r="J91" s="4"/>
      <c r="K91" s="4"/>
      <c r="L91" s="4"/>
      <c r="M91" s="134"/>
      <c r="N91" s="4"/>
      <c r="O91" s="4"/>
    </row>
    <row r="92" spans="1:15" s="1" customFormat="1" ht="13.5" hidden="1" customHeight="1">
      <c r="A92" s="1329">
        <v>42917</v>
      </c>
      <c r="B92" s="1247">
        <v>4.250000000000001E-2</v>
      </c>
      <c r="C92" s="2310">
        <v>0.03</v>
      </c>
      <c r="D92" s="1811">
        <v>0.9</v>
      </c>
      <c r="E92" s="1812">
        <v>1</v>
      </c>
      <c r="F92" s="122"/>
      <c r="G92" s="27"/>
      <c r="H92" s="4"/>
      <c r="I92" s="4"/>
      <c r="J92" s="4"/>
      <c r="K92" s="4"/>
      <c r="L92" s="4"/>
      <c r="M92" s="134"/>
      <c r="N92" s="4"/>
      <c r="O92" s="4"/>
    </row>
    <row r="93" spans="1:15" s="1" customFormat="1" ht="13.5" customHeight="1">
      <c r="A93" s="510">
        <v>42948</v>
      </c>
      <c r="B93" s="614">
        <v>3.8333333333333337E-2</v>
      </c>
      <c r="C93" s="2310">
        <v>0.02</v>
      </c>
      <c r="D93" s="1811">
        <v>0.9</v>
      </c>
      <c r="E93" s="1812">
        <v>1</v>
      </c>
      <c r="F93" s="122"/>
      <c r="G93" s="27"/>
      <c r="H93" s="4"/>
      <c r="I93" s="4"/>
      <c r="J93" s="4"/>
      <c r="K93" s="4"/>
      <c r="L93" s="4"/>
      <c r="M93" s="134"/>
      <c r="N93" s="4"/>
      <c r="O93" s="4"/>
    </row>
    <row r="94" spans="1:15" s="1" customFormat="1" ht="13.5" customHeight="1">
      <c r="A94" s="510">
        <v>42979</v>
      </c>
      <c r="B94" s="614">
        <v>3.3333333333333333E-2</v>
      </c>
      <c r="C94" s="2310">
        <v>0.03</v>
      </c>
      <c r="D94" s="1811">
        <v>0.9</v>
      </c>
      <c r="E94" s="1812">
        <v>1</v>
      </c>
      <c r="F94" s="122"/>
      <c r="G94" s="27"/>
      <c r="H94" s="4"/>
      <c r="I94" s="4"/>
      <c r="J94" s="4"/>
      <c r="K94" s="4"/>
      <c r="L94" s="4"/>
      <c r="M94" s="134"/>
      <c r="N94" s="4"/>
      <c r="O94" s="4"/>
    </row>
    <row r="95" spans="1:15" s="1" customFormat="1" ht="13.5" customHeight="1">
      <c r="A95" s="510">
        <v>43009</v>
      </c>
      <c r="B95" s="614">
        <v>3.0833333333333341E-2</v>
      </c>
      <c r="C95" s="2310">
        <v>0.03</v>
      </c>
      <c r="D95" s="1811">
        <v>0.9</v>
      </c>
      <c r="E95" s="1812">
        <v>1</v>
      </c>
      <c r="F95" s="122"/>
      <c r="G95" s="27"/>
      <c r="H95" s="4"/>
      <c r="I95" s="4"/>
      <c r="J95" s="4"/>
      <c r="K95" s="4"/>
      <c r="L95" s="4"/>
      <c r="M95" s="134"/>
      <c r="N95" s="4"/>
      <c r="O95" s="4"/>
    </row>
    <row r="96" spans="1:15" s="1" customFormat="1" ht="13.5" customHeight="1">
      <c r="A96" s="510">
        <v>43040</v>
      </c>
      <c r="B96" s="614">
        <v>2.9166666666666674E-2</v>
      </c>
      <c r="C96" s="2310">
        <v>0.02</v>
      </c>
      <c r="D96" s="1811">
        <v>0.9</v>
      </c>
      <c r="E96" s="1812">
        <v>1</v>
      </c>
      <c r="F96" s="122"/>
      <c r="G96" s="27"/>
      <c r="H96" s="4"/>
      <c r="I96" s="4"/>
      <c r="J96" s="4"/>
      <c r="K96" s="4"/>
      <c r="L96" s="4"/>
      <c r="M96" s="134"/>
      <c r="N96" s="4"/>
      <c r="O96" s="4"/>
    </row>
    <row r="97" spans="1:15" s="1257" customFormat="1" ht="13.5" customHeight="1">
      <c r="A97" s="510">
        <v>43070</v>
      </c>
      <c r="B97" s="614">
        <v>3.0833333333333341E-2</v>
      </c>
      <c r="C97" s="2310">
        <v>0.03</v>
      </c>
      <c r="D97" s="1811">
        <v>0.9</v>
      </c>
      <c r="E97" s="1812">
        <v>1</v>
      </c>
      <c r="F97" s="122"/>
      <c r="G97" s="27"/>
      <c r="H97" s="1258"/>
      <c r="I97" s="1258"/>
      <c r="J97" s="1258"/>
      <c r="K97" s="1258"/>
      <c r="L97" s="1258"/>
      <c r="M97" s="134"/>
      <c r="N97" s="1258"/>
      <c r="O97" s="1258"/>
    </row>
    <row r="98" spans="1:15" s="1257" customFormat="1" ht="13.5" customHeight="1">
      <c r="A98" s="510">
        <v>43101</v>
      </c>
      <c r="B98" s="614">
        <v>3.0833333333333341E-2</v>
      </c>
      <c r="C98" s="2310">
        <v>0.02</v>
      </c>
      <c r="D98" s="1811">
        <v>0.9</v>
      </c>
      <c r="E98" s="1812">
        <v>1</v>
      </c>
      <c r="F98" s="122"/>
      <c r="G98" s="27"/>
      <c r="H98" s="1258"/>
      <c r="I98" s="1258"/>
      <c r="J98" s="1258"/>
      <c r="K98" s="1258"/>
      <c r="L98" s="1258"/>
      <c r="M98" s="134"/>
      <c r="N98" s="1258"/>
      <c r="O98" s="1258"/>
    </row>
    <row r="99" spans="1:15" s="1" customFormat="1" ht="13.5" customHeight="1">
      <c r="A99" s="510">
        <v>43132</v>
      </c>
      <c r="B99" s="614">
        <v>3.0000000000000009E-2</v>
      </c>
      <c r="C99" s="2310">
        <v>0.02</v>
      </c>
      <c r="D99" s="1811">
        <v>0.9</v>
      </c>
      <c r="E99" s="1812">
        <v>1</v>
      </c>
      <c r="F99" s="122"/>
      <c r="G99" s="27"/>
      <c r="H99" s="4"/>
      <c r="I99" s="4"/>
      <c r="J99" s="4"/>
      <c r="K99" s="4"/>
      <c r="L99" s="4"/>
      <c r="M99" s="134"/>
      <c r="N99" s="4"/>
      <c r="O99" s="4"/>
    </row>
    <row r="100" spans="1:15" s="1257" customFormat="1" ht="13.5" customHeight="1">
      <c r="A100" s="510">
        <v>43160</v>
      </c>
      <c r="B100" s="614">
        <f>SUM(C89:C100)/12</f>
        <v>3.1666666666666669E-2</v>
      </c>
      <c r="C100" s="2310">
        <v>0.05</v>
      </c>
      <c r="D100" s="1811">
        <v>0.9</v>
      </c>
      <c r="E100" s="1812">
        <v>1</v>
      </c>
      <c r="F100" s="122"/>
      <c r="G100" s="27"/>
      <c r="H100" s="1258"/>
      <c r="I100" s="1258"/>
      <c r="J100" s="1258"/>
      <c r="K100" s="1258"/>
      <c r="L100" s="1258"/>
      <c r="M100" s="134"/>
      <c r="N100" s="1258"/>
      <c r="O100" s="1258"/>
    </row>
    <row r="101" spans="1:15" s="1257" customFormat="1" ht="13.5" customHeight="1">
      <c r="A101" s="510">
        <v>43191</v>
      </c>
      <c r="B101" s="614">
        <v>3.0000000000000002E-2</v>
      </c>
      <c r="C101" s="2310">
        <v>0.01</v>
      </c>
      <c r="D101" s="1811">
        <v>0.9</v>
      </c>
      <c r="E101" s="1812">
        <v>1</v>
      </c>
      <c r="F101" s="122"/>
      <c r="G101" s="27"/>
      <c r="H101" s="1258"/>
      <c r="I101" s="1258"/>
      <c r="J101" s="1258"/>
      <c r="K101" s="1258"/>
      <c r="L101" s="1258"/>
      <c r="M101" s="134"/>
      <c r="N101" s="1258"/>
      <c r="O101" s="1258"/>
    </row>
    <row r="102" spans="1:15" s="2638" customFormat="1" ht="13.5" customHeight="1">
      <c r="A102" s="510">
        <v>43221</v>
      </c>
      <c r="B102" s="614">
        <v>2.9166666666666671E-2</v>
      </c>
      <c r="C102" s="2310">
        <v>0.02</v>
      </c>
      <c r="D102" s="1811">
        <v>0.9</v>
      </c>
      <c r="E102" s="1812">
        <v>1</v>
      </c>
      <c r="F102" s="2652"/>
      <c r="G102" s="2646"/>
      <c r="H102" s="2639"/>
      <c r="I102" s="2639"/>
      <c r="J102" s="2639"/>
      <c r="K102" s="2639"/>
      <c r="L102" s="2639"/>
      <c r="M102" s="2653"/>
      <c r="N102" s="2639"/>
      <c r="O102" s="2639"/>
    </row>
    <row r="103" spans="1:15" s="2638" customFormat="1" ht="13.5" customHeight="1">
      <c r="A103" s="510">
        <v>43252</v>
      </c>
      <c r="B103" s="614">
        <v>0.03</v>
      </c>
      <c r="C103" s="2310">
        <v>7.0000000000000007E-2</v>
      </c>
      <c r="D103" s="1811">
        <v>0.9</v>
      </c>
      <c r="E103" s="1812">
        <v>1</v>
      </c>
      <c r="F103" s="2652"/>
      <c r="G103" s="2646"/>
      <c r="H103" s="2639"/>
      <c r="I103" s="2639"/>
      <c r="J103" s="2639"/>
      <c r="K103" s="2639"/>
      <c r="L103" s="2639"/>
      <c r="M103" s="2653"/>
      <c r="N103" s="2639"/>
      <c r="O103" s="2639"/>
    </row>
    <row r="104" spans="1:15" s="1820" customFormat="1" ht="13.5" customHeight="1">
      <c r="A104" s="510">
        <v>43282</v>
      </c>
      <c r="B104" s="614">
        <v>0.03</v>
      </c>
      <c r="C104" s="2310">
        <v>0.02</v>
      </c>
      <c r="D104" s="1811">
        <v>0.9</v>
      </c>
      <c r="E104" s="1812">
        <v>1</v>
      </c>
      <c r="F104" s="122"/>
      <c r="G104" s="27"/>
      <c r="H104" s="1830"/>
      <c r="I104" s="1830"/>
      <c r="J104" s="1830"/>
      <c r="K104" s="1830"/>
      <c r="L104" s="1830"/>
      <c r="M104" s="134"/>
      <c r="N104" s="1830"/>
      <c r="O104" s="1830"/>
    </row>
    <row r="105" spans="1:15" s="2638" customFormat="1" ht="13.5" customHeight="1">
      <c r="A105" s="510">
        <v>43313</v>
      </c>
      <c r="B105" s="614">
        <v>3.2500000000000008E-2</v>
      </c>
      <c r="C105" s="2310">
        <v>7.0000000000000007E-2</v>
      </c>
      <c r="D105" s="1811">
        <v>0.9</v>
      </c>
      <c r="E105" s="1812">
        <v>1</v>
      </c>
      <c r="F105" s="2652"/>
      <c r="G105" s="2646"/>
      <c r="H105" s="2639"/>
      <c r="I105" s="2639"/>
      <c r="J105" s="2639"/>
      <c r="K105" s="2639"/>
      <c r="L105" s="2639"/>
      <c r="M105" s="2653"/>
      <c r="N105" s="2639"/>
      <c r="O105" s="2639"/>
    </row>
    <row r="106" spans="1:15" s="2638" customFormat="1" ht="13.5" customHeight="1" thickBot="1">
      <c r="A106" s="2763">
        <v>43344</v>
      </c>
      <c r="B106" s="2803">
        <v>3.5000000000000003E-2</v>
      </c>
      <c r="C106" s="2804">
        <v>0.06</v>
      </c>
      <c r="D106" s="2805">
        <v>0.9</v>
      </c>
      <c r="E106" s="2806">
        <v>1</v>
      </c>
      <c r="F106" s="2652"/>
      <c r="G106" s="2646"/>
      <c r="H106" s="2639"/>
      <c r="I106" s="2639"/>
      <c r="J106" s="2639"/>
      <c r="K106" s="2639"/>
      <c r="L106" s="2639"/>
      <c r="M106" s="2653"/>
      <c r="N106" s="2639"/>
      <c r="O106" s="2639"/>
    </row>
    <row r="107" spans="1:15" ht="12.75" thickBot="1">
      <c r="A107" s="165"/>
      <c r="B107" s="154"/>
      <c r="C107" s="154"/>
      <c r="D107" s="154"/>
      <c r="E107" s="154"/>
      <c r="F107" s="154"/>
      <c r="G107" s="154"/>
      <c r="H107" s="154"/>
      <c r="I107" s="154"/>
      <c r="J107" s="154"/>
      <c r="K107" s="154"/>
      <c r="L107" s="154"/>
      <c r="M107" s="155"/>
      <c r="N107" s="8"/>
      <c r="O107" s="8"/>
    </row>
    <row r="108" spans="1:15" ht="36" customHeight="1" thickBot="1">
      <c r="A108" s="3366" t="s">
        <v>71</v>
      </c>
      <c r="B108" s="3367"/>
      <c r="C108" s="3367"/>
      <c r="D108" s="3368" t="s">
        <v>510</v>
      </c>
      <c r="E108" s="3368"/>
      <c r="F108" s="3368"/>
      <c r="G108" s="3368"/>
      <c r="H108" s="3368"/>
      <c r="I108" s="3368"/>
      <c r="J108" s="3368"/>
      <c r="K108" s="3368"/>
      <c r="L108" s="3368"/>
      <c r="M108" s="3369"/>
    </row>
    <row r="109" spans="1:15">
      <c r="A109" s="333"/>
      <c r="B109" s="333"/>
      <c r="C109" s="333"/>
      <c r="D109" s="333"/>
      <c r="E109" s="333"/>
      <c r="F109" s="333"/>
      <c r="G109" s="333"/>
      <c r="H109" s="333"/>
      <c r="J109" s="333"/>
      <c r="K109" s="333"/>
      <c r="L109" s="333"/>
      <c r="M109" s="333"/>
    </row>
    <row r="110" spans="1:15">
      <c r="A110" s="333"/>
      <c r="B110" s="333"/>
      <c r="C110" s="333"/>
      <c r="D110" s="333"/>
      <c r="E110" s="333"/>
      <c r="F110" s="333"/>
      <c r="G110" s="333"/>
      <c r="H110" s="333"/>
      <c r="J110" s="333"/>
      <c r="K110" s="333"/>
      <c r="L110" s="333"/>
      <c r="M110" s="333"/>
    </row>
    <row r="111" spans="1:15">
      <c r="A111" s="333"/>
      <c r="B111" s="333"/>
      <c r="C111" s="333"/>
      <c r="D111" s="333"/>
      <c r="E111" s="333"/>
      <c r="F111" s="333"/>
      <c r="G111" s="333"/>
      <c r="H111" s="333"/>
      <c r="J111" s="333"/>
      <c r="K111" s="333"/>
      <c r="L111" s="333"/>
      <c r="M111" s="333"/>
    </row>
    <row r="112" spans="1:15">
      <c r="A112" s="333"/>
      <c r="B112" s="333"/>
      <c r="C112" s="333"/>
      <c r="D112" s="333"/>
      <c r="E112" s="333"/>
      <c r="F112" s="333"/>
      <c r="G112" s="333"/>
      <c r="H112" s="333"/>
      <c r="J112" s="333"/>
      <c r="K112" s="333"/>
      <c r="L112" s="333"/>
      <c r="M112" s="333"/>
    </row>
    <row r="113" spans="1:13">
      <c r="A113" s="346"/>
      <c r="B113" s="333"/>
      <c r="C113" s="333"/>
      <c r="D113" s="333"/>
      <c r="E113" s="819"/>
      <c r="F113" s="333"/>
      <c r="G113" s="333"/>
      <c r="H113" s="333"/>
      <c r="J113" s="333"/>
      <c r="K113" s="333"/>
      <c r="L113" s="333"/>
      <c r="M113" s="333"/>
    </row>
    <row r="114" spans="1:13">
      <c r="A114" s="346"/>
      <c r="B114" s="333"/>
      <c r="C114" s="333"/>
      <c r="D114" s="333"/>
      <c r="E114" s="819"/>
      <c r="F114" s="333"/>
      <c r="G114" s="333"/>
      <c r="H114" s="333"/>
      <c r="J114" s="333"/>
      <c r="K114" s="333"/>
      <c r="L114" s="333"/>
      <c r="M114" s="333"/>
    </row>
    <row r="115" spans="1:13">
      <c r="A115" s="333"/>
      <c r="F115" s="333"/>
      <c r="G115" s="333"/>
      <c r="H115" s="333"/>
      <c r="J115" s="333"/>
      <c r="K115" s="333"/>
      <c r="L115" s="333"/>
      <c r="M115" s="333"/>
    </row>
    <row r="116" spans="1:13">
      <c r="A116" s="333"/>
      <c r="F116" s="333"/>
      <c r="G116" s="333"/>
      <c r="H116" s="333"/>
      <c r="J116" s="333"/>
      <c r="K116" s="333"/>
      <c r="L116" s="333"/>
      <c r="M116" s="333"/>
    </row>
    <row r="251" spans="1:15">
      <c r="B251" s="336"/>
      <c r="C251" s="336"/>
      <c r="D251" s="336"/>
      <c r="E251" s="336"/>
    </row>
    <row r="252" spans="1:15">
      <c r="B252" s="333"/>
      <c r="C252" s="333"/>
      <c r="D252" s="333"/>
      <c r="E252" s="333"/>
    </row>
    <row r="253" spans="1:15">
      <c r="A253" s="347"/>
      <c r="B253" s="333"/>
      <c r="C253" s="333"/>
      <c r="D253" s="333"/>
      <c r="E253" s="333"/>
      <c r="F253" s="336"/>
      <c r="G253" s="336"/>
      <c r="H253" s="336"/>
      <c r="I253" s="336"/>
      <c r="J253" s="336"/>
      <c r="K253" s="336"/>
      <c r="L253" s="348"/>
      <c r="N253" s="334"/>
      <c r="O253" s="334"/>
    </row>
    <row r="254" spans="1:15">
      <c r="A254" s="346"/>
      <c r="B254" s="333"/>
      <c r="C254" s="333"/>
      <c r="D254" s="333"/>
      <c r="E254" s="333"/>
      <c r="F254" s="333"/>
      <c r="G254" s="333"/>
      <c r="H254" s="333"/>
      <c r="J254" s="333"/>
      <c r="K254" s="333"/>
      <c r="L254" s="349"/>
      <c r="N254" s="334"/>
      <c r="O254" s="334"/>
    </row>
    <row r="255" spans="1:15">
      <c r="A255" s="346"/>
      <c r="B255" s="333"/>
      <c r="C255" s="333"/>
      <c r="D255" s="333"/>
      <c r="E255" s="333"/>
      <c r="F255" s="333"/>
      <c r="G255" s="333"/>
      <c r="H255" s="333"/>
      <c r="J255" s="333"/>
      <c r="K255" s="333"/>
      <c r="L255" s="349"/>
      <c r="N255" s="334"/>
      <c r="O255" s="334"/>
    </row>
    <row r="256" spans="1:15">
      <c r="A256" s="346"/>
      <c r="B256" s="333"/>
      <c r="C256" s="333"/>
      <c r="D256" s="333"/>
      <c r="E256" s="333"/>
      <c r="F256" s="333"/>
      <c r="G256" s="333"/>
      <c r="H256" s="333"/>
      <c r="J256" s="333"/>
      <c r="K256" s="333"/>
      <c r="L256" s="349"/>
      <c r="N256" s="334"/>
      <c r="O256" s="334"/>
    </row>
    <row r="257" spans="1:15">
      <c r="A257" s="346"/>
      <c r="B257" s="333"/>
      <c r="C257" s="333"/>
      <c r="D257" s="333"/>
      <c r="E257" s="333"/>
      <c r="F257" s="333"/>
      <c r="G257" s="333"/>
      <c r="H257" s="333"/>
      <c r="J257" s="333"/>
      <c r="K257" s="333"/>
      <c r="L257" s="349"/>
      <c r="N257" s="334"/>
      <c r="O257" s="334"/>
    </row>
    <row r="258" spans="1:15">
      <c r="A258" s="346"/>
      <c r="B258" s="333"/>
      <c r="C258" s="333"/>
      <c r="D258" s="333"/>
      <c r="E258" s="333"/>
      <c r="F258" s="333"/>
      <c r="G258" s="333"/>
      <c r="H258" s="333"/>
      <c r="J258" s="333"/>
      <c r="K258" s="333"/>
      <c r="L258" s="349"/>
      <c r="N258" s="334"/>
      <c r="O258" s="334"/>
    </row>
    <row r="259" spans="1:15">
      <c r="A259" s="346"/>
      <c r="B259" s="333"/>
      <c r="C259" s="333"/>
      <c r="D259" s="333"/>
      <c r="E259" s="333"/>
      <c r="F259" s="333"/>
      <c r="G259" s="333"/>
      <c r="H259" s="333"/>
      <c r="J259" s="333"/>
      <c r="K259" s="333"/>
      <c r="L259" s="349"/>
      <c r="N259" s="334"/>
      <c r="O259" s="334"/>
    </row>
    <row r="260" spans="1:15">
      <c r="A260" s="346"/>
      <c r="B260" s="333"/>
      <c r="C260" s="333"/>
      <c r="D260" s="333"/>
      <c r="E260" s="333"/>
      <c r="F260" s="333"/>
      <c r="G260" s="333"/>
      <c r="H260" s="333"/>
      <c r="J260" s="333"/>
      <c r="K260" s="333"/>
      <c r="L260" s="349"/>
      <c r="N260" s="334"/>
      <c r="O260" s="334"/>
    </row>
    <row r="261" spans="1:15">
      <c r="A261" s="346"/>
      <c r="B261" s="333"/>
      <c r="C261" s="333"/>
      <c r="D261" s="333"/>
      <c r="E261" s="333"/>
      <c r="F261" s="333"/>
      <c r="G261" s="333"/>
      <c r="H261" s="333"/>
      <c r="J261" s="333"/>
      <c r="K261" s="333"/>
      <c r="L261" s="349"/>
      <c r="N261" s="334"/>
      <c r="O261" s="334"/>
    </row>
    <row r="262" spans="1:15">
      <c r="A262" s="346"/>
      <c r="B262" s="333"/>
      <c r="C262" s="333"/>
      <c r="D262" s="333"/>
      <c r="E262" s="333"/>
      <c r="F262" s="333"/>
      <c r="G262" s="333"/>
      <c r="H262" s="333"/>
      <c r="J262" s="333"/>
      <c r="K262" s="333"/>
      <c r="L262" s="349"/>
      <c r="N262" s="334"/>
      <c r="O262" s="334"/>
    </row>
    <row r="263" spans="1:15">
      <c r="A263" s="346"/>
      <c r="B263" s="333"/>
      <c r="C263" s="333"/>
      <c r="D263" s="333"/>
      <c r="E263" s="333"/>
      <c r="F263" s="333"/>
      <c r="G263" s="333"/>
      <c r="H263" s="333"/>
      <c r="J263" s="333"/>
      <c r="K263" s="333"/>
      <c r="L263" s="349"/>
      <c r="N263" s="334"/>
      <c r="O263" s="334"/>
    </row>
    <row r="264" spans="1:15">
      <c r="A264" s="346"/>
      <c r="B264" s="333"/>
      <c r="C264" s="333"/>
      <c r="D264" s="333"/>
      <c r="E264" s="333"/>
      <c r="F264" s="333"/>
      <c r="G264" s="333"/>
      <c r="H264" s="333"/>
      <c r="J264" s="333"/>
      <c r="K264" s="333"/>
      <c r="L264" s="349"/>
      <c r="N264" s="334"/>
      <c r="O264" s="334"/>
    </row>
    <row r="265" spans="1:15">
      <c r="A265" s="346"/>
      <c r="B265" s="333"/>
      <c r="C265" s="333"/>
      <c r="D265" s="333"/>
      <c r="E265" s="333"/>
      <c r="F265" s="333"/>
      <c r="G265" s="333"/>
      <c r="H265" s="333"/>
      <c r="J265" s="333"/>
      <c r="K265" s="333"/>
      <c r="L265" s="349"/>
      <c r="N265" s="334"/>
      <c r="O265" s="334"/>
    </row>
    <row r="266" spans="1:15">
      <c r="A266" s="346"/>
      <c r="B266" s="333"/>
      <c r="C266" s="333"/>
      <c r="D266" s="333"/>
      <c r="E266" s="333"/>
      <c r="F266" s="333"/>
      <c r="G266" s="333"/>
      <c r="H266" s="333"/>
      <c r="J266" s="333"/>
      <c r="K266" s="333"/>
      <c r="L266" s="349"/>
      <c r="N266" s="334"/>
      <c r="O266" s="334"/>
    </row>
    <row r="267" spans="1:15">
      <c r="A267" s="346"/>
      <c r="B267" s="333"/>
      <c r="C267" s="333"/>
      <c r="D267" s="333"/>
      <c r="E267" s="333"/>
      <c r="F267" s="333"/>
      <c r="G267" s="333"/>
      <c r="H267" s="333"/>
      <c r="J267" s="333"/>
      <c r="K267" s="333"/>
      <c r="L267" s="349"/>
      <c r="N267" s="334"/>
      <c r="O267" s="334"/>
    </row>
    <row r="268" spans="1:15">
      <c r="A268" s="346"/>
      <c r="B268" s="333"/>
      <c r="C268" s="333"/>
      <c r="D268" s="333"/>
      <c r="E268" s="333"/>
      <c r="F268" s="333"/>
      <c r="G268" s="333"/>
      <c r="H268" s="333"/>
      <c r="J268" s="333"/>
      <c r="K268" s="333"/>
      <c r="L268" s="349"/>
      <c r="N268" s="334"/>
      <c r="O268" s="334"/>
    </row>
    <row r="269" spans="1:15">
      <c r="A269" s="346"/>
      <c r="B269" s="333"/>
      <c r="C269" s="333"/>
      <c r="D269" s="333"/>
      <c r="E269" s="333"/>
      <c r="F269" s="333"/>
      <c r="G269" s="333"/>
      <c r="H269" s="333"/>
      <c r="J269" s="333"/>
      <c r="K269" s="333"/>
      <c r="L269" s="349"/>
      <c r="N269" s="334"/>
      <c r="O269" s="334"/>
    </row>
    <row r="270" spans="1:15">
      <c r="A270" s="346"/>
      <c r="B270" s="333"/>
      <c r="C270" s="333"/>
      <c r="D270" s="333"/>
      <c r="E270" s="333"/>
      <c r="F270" s="333"/>
      <c r="G270" s="333"/>
      <c r="H270" s="333"/>
      <c r="J270" s="333"/>
      <c r="K270" s="333"/>
      <c r="L270" s="349"/>
      <c r="N270" s="334"/>
      <c r="O270" s="334"/>
    </row>
    <row r="271" spans="1:15">
      <c r="A271" s="346"/>
      <c r="B271" s="351"/>
      <c r="C271" s="351"/>
      <c r="D271" s="351"/>
      <c r="E271" s="351"/>
      <c r="F271" s="333"/>
      <c r="G271" s="333"/>
      <c r="H271" s="333"/>
      <c r="J271" s="333"/>
      <c r="K271" s="333"/>
      <c r="L271" s="349"/>
      <c r="N271" s="334"/>
      <c r="O271" s="334"/>
    </row>
    <row r="272" spans="1:15">
      <c r="A272" s="346"/>
      <c r="F272" s="333"/>
      <c r="G272" s="333"/>
      <c r="H272" s="333"/>
      <c r="J272" s="333"/>
      <c r="K272" s="333"/>
      <c r="L272" s="349"/>
      <c r="N272" s="334"/>
      <c r="O272" s="334"/>
    </row>
    <row r="273" spans="1:15">
      <c r="A273" s="350"/>
      <c r="F273" s="351"/>
      <c r="G273" s="351"/>
      <c r="H273" s="351"/>
      <c r="I273" s="351"/>
      <c r="J273" s="351"/>
      <c r="K273" s="351"/>
      <c r="L273" s="352"/>
      <c r="N273" s="334"/>
      <c r="O273" s="334"/>
    </row>
  </sheetData>
  <mergeCells count="34">
    <mergeCell ref="A1:M1"/>
    <mergeCell ref="A2:C2"/>
    <mergeCell ref="D2:K2"/>
    <mergeCell ref="L2:M2"/>
    <mergeCell ref="A3:C3"/>
    <mergeCell ref="D3:M3"/>
    <mergeCell ref="A4:C4"/>
    <mergeCell ref="D4:M4"/>
    <mergeCell ref="A5:C5"/>
    <mergeCell ref="D5:M5"/>
    <mergeCell ref="A6:C6"/>
    <mergeCell ref="D6:M6"/>
    <mergeCell ref="A7:C7"/>
    <mergeCell ref="D7:M7"/>
    <mergeCell ref="A8:C8"/>
    <mergeCell ref="D8:M8"/>
    <mergeCell ref="A9:C9"/>
    <mergeCell ref="D9:M9"/>
    <mergeCell ref="A10:C10"/>
    <mergeCell ref="D10:M10"/>
    <mergeCell ref="A11:C11"/>
    <mergeCell ref="D11:M11"/>
    <mergeCell ref="A12:C12"/>
    <mergeCell ref="D12:M12"/>
    <mergeCell ref="H17:H19"/>
    <mergeCell ref="A108:C108"/>
    <mergeCell ref="D108:M108"/>
    <mergeCell ref="A13:C14"/>
    <mergeCell ref="A17:A18"/>
    <mergeCell ref="B17:B18"/>
    <mergeCell ref="C17:C18"/>
    <mergeCell ref="D17:D18"/>
    <mergeCell ref="E17:E18"/>
    <mergeCell ref="A16:E16"/>
  </mergeCells>
  <printOptions horizontalCentered="1" verticalCentered="1"/>
  <pageMargins left="0.19685039370078741" right="0.19685039370078741" top="0.59055118110236227" bottom="0.39370078740157483" header="0.19685039370078741" footer="0.19685039370078741"/>
  <pageSetup paperSize="9" scale="90" orientation="portrait" r:id="rId1"/>
  <ignoredErrors>
    <ignoredError sqref="B62:B70 B86 B100" formulaRange="1"/>
  </ignoredErrors>
  <drawing r:id="rId2"/>
  <legacyDrawing r:id="rId3"/>
  <oleObjects>
    <mc:AlternateContent xmlns:mc="http://schemas.openxmlformats.org/markup-compatibility/2006">
      <mc:Choice Requires="x14">
        <oleObject progId="Equation.3" shapeId="70657" r:id="rId4">
          <objectPr defaultSize="0" autoPict="0" r:id="rId5">
            <anchor moveWithCells="1" sizeWithCells="1">
              <from>
                <xdr:col>3</xdr:col>
                <xdr:colOff>200025</xdr:colOff>
                <xdr:row>5</xdr:row>
                <xdr:rowOff>95250</xdr:rowOff>
              </from>
              <to>
                <xdr:col>4</xdr:col>
                <xdr:colOff>590550</xdr:colOff>
                <xdr:row>5</xdr:row>
                <xdr:rowOff>361950</xdr:rowOff>
              </to>
            </anchor>
          </objectPr>
        </oleObject>
      </mc:Choice>
      <mc:Fallback>
        <oleObject progId="Equation.3" shapeId="70657"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2">
    <tabColor theme="3" tint="-0.249977111117893"/>
  </sheetPr>
  <dimension ref="A1:BI91"/>
  <sheetViews>
    <sheetView showGridLines="0" view="pageBreakPreview" zoomScale="70" zoomScaleNormal="70" zoomScaleSheetLayoutView="70" workbookViewId="0">
      <selection activeCell="BF50" sqref="BF50"/>
    </sheetView>
  </sheetViews>
  <sheetFormatPr baseColWidth="10" defaultRowHeight="15"/>
  <cols>
    <col min="1" max="1" width="27.6640625" style="1397" customWidth="1"/>
    <col min="2" max="2" width="22.33203125" style="1397" customWidth="1"/>
    <col min="3" max="3" width="21.83203125" style="1397" customWidth="1"/>
    <col min="4" max="4" width="17.1640625" style="1397" customWidth="1"/>
    <col min="5" max="5" width="16" style="1397" hidden="1" customWidth="1"/>
    <col min="6" max="6" width="15.33203125" style="1397" hidden="1" customWidth="1"/>
    <col min="7" max="7" width="16.5" style="1397" hidden="1" customWidth="1"/>
    <col min="8" max="8" width="14.33203125" style="1397" hidden="1" customWidth="1"/>
    <col min="9" max="9" width="15.6640625" style="1397" hidden="1" customWidth="1"/>
    <col min="10" max="10" width="15.33203125" style="1397" hidden="1" customWidth="1"/>
    <col min="11" max="11" width="15" style="1397" hidden="1" customWidth="1"/>
    <col min="12" max="12" width="15.6640625" style="1397" hidden="1" customWidth="1"/>
    <col min="13" max="13" width="14.6640625" style="1397" hidden="1" customWidth="1"/>
    <col min="14" max="14" width="16.1640625" style="1397" hidden="1" customWidth="1"/>
    <col min="15" max="15" width="16.83203125" style="1397" hidden="1" customWidth="1"/>
    <col min="16" max="16" width="15" style="1397" hidden="1" customWidth="1"/>
    <col min="17" max="17" width="15.33203125" style="1397" hidden="1" customWidth="1"/>
    <col min="18" max="18" width="14.33203125" style="1397" hidden="1" customWidth="1"/>
    <col min="19" max="20" width="15.33203125" style="1397" hidden="1" customWidth="1"/>
    <col min="21" max="21" width="14.6640625" style="1397" hidden="1" customWidth="1"/>
    <col min="22" max="23" width="15" style="1397" hidden="1" customWidth="1"/>
    <col min="24" max="25" width="15.33203125" style="1397" hidden="1" customWidth="1"/>
    <col min="26" max="26" width="15" style="1397" hidden="1" customWidth="1"/>
    <col min="27" max="27" width="14.6640625" style="1397" hidden="1" customWidth="1"/>
    <col min="28" max="28" width="17" style="1397" hidden="1" customWidth="1"/>
    <col min="29" max="30" width="14" style="1397" hidden="1" customWidth="1"/>
    <col min="31" max="34" width="14.6640625" style="1397" hidden="1" customWidth="1"/>
    <col min="35" max="35" width="16.1640625" style="1397" hidden="1" customWidth="1"/>
    <col min="36" max="36" width="15.33203125" style="1397" hidden="1" customWidth="1"/>
    <col min="37" max="38" width="15" style="1397" hidden="1" customWidth="1"/>
    <col min="39" max="39" width="15.33203125" style="1397" hidden="1" customWidth="1"/>
    <col min="40" max="40" width="18.33203125" style="1397" hidden="1" customWidth="1"/>
    <col min="41" max="41" width="16.5" style="1397" hidden="1" customWidth="1"/>
    <col min="42" max="45" width="16.83203125" style="1397" hidden="1" customWidth="1"/>
    <col min="46" max="46" width="17.1640625" style="1397" hidden="1" customWidth="1"/>
    <col min="47" max="47" width="17.5" style="1397" hidden="1" customWidth="1"/>
    <col min="48" max="48" width="17.83203125" style="1397" hidden="1" customWidth="1"/>
    <col min="49" max="49" width="18.5" style="1397" hidden="1" customWidth="1"/>
    <col min="50" max="50" width="18" style="1397" customWidth="1"/>
    <col min="51" max="51" width="18.33203125" style="1397" customWidth="1"/>
    <col min="52" max="53" width="18" style="1397" bestFit="1" customWidth="1"/>
    <col min="54" max="54" width="16.33203125" style="1397" bestFit="1" customWidth="1"/>
    <col min="55" max="55" width="18" style="1397" bestFit="1" customWidth="1"/>
    <col min="56" max="60" width="18" style="1397" customWidth="1"/>
    <col min="61" max="61" width="18.83203125" style="1397" customWidth="1"/>
    <col min="62" max="254" width="12" style="1397"/>
    <col min="255" max="255" width="31.6640625" style="1397" customWidth="1"/>
    <col min="256" max="256" width="27.1640625" style="1397" customWidth="1"/>
    <col min="257" max="257" width="17" style="1397" customWidth="1"/>
    <col min="258" max="258" width="14.6640625" style="1397" customWidth="1"/>
    <col min="259" max="510" width="12" style="1397"/>
    <col min="511" max="511" width="31.6640625" style="1397" customWidth="1"/>
    <col min="512" max="512" width="27.1640625" style="1397" customWidth="1"/>
    <col min="513" max="513" width="17" style="1397" customWidth="1"/>
    <col min="514" max="514" width="14.6640625" style="1397" customWidth="1"/>
    <col min="515" max="766" width="12" style="1397"/>
    <col min="767" max="767" width="31.6640625" style="1397" customWidth="1"/>
    <col min="768" max="768" width="27.1640625" style="1397" customWidth="1"/>
    <col min="769" max="769" width="17" style="1397" customWidth="1"/>
    <col min="770" max="770" width="14.6640625" style="1397" customWidth="1"/>
    <col min="771" max="1022" width="12" style="1397"/>
    <col min="1023" max="1023" width="31.6640625" style="1397" customWidth="1"/>
    <col min="1024" max="1024" width="27.1640625" style="1397" customWidth="1"/>
    <col min="1025" max="1025" width="17" style="1397" customWidth="1"/>
    <col min="1026" max="1026" width="14.6640625" style="1397" customWidth="1"/>
    <col min="1027" max="1278" width="12" style="1397"/>
    <col min="1279" max="1279" width="31.6640625" style="1397" customWidth="1"/>
    <col min="1280" max="1280" width="27.1640625" style="1397" customWidth="1"/>
    <col min="1281" max="1281" width="17" style="1397" customWidth="1"/>
    <col min="1282" max="1282" width="14.6640625" style="1397" customWidth="1"/>
    <col min="1283" max="1534" width="12" style="1397"/>
    <col min="1535" max="1535" width="31.6640625" style="1397" customWidth="1"/>
    <col min="1536" max="1536" width="27.1640625" style="1397" customWidth="1"/>
    <col min="1537" max="1537" width="17" style="1397" customWidth="1"/>
    <col min="1538" max="1538" width="14.6640625" style="1397" customWidth="1"/>
    <col min="1539" max="1790" width="12" style="1397"/>
    <col min="1791" max="1791" width="31.6640625" style="1397" customWidth="1"/>
    <col min="1792" max="1792" width="27.1640625" style="1397" customWidth="1"/>
    <col min="1793" max="1793" width="17" style="1397" customWidth="1"/>
    <col min="1794" max="1794" width="14.6640625" style="1397" customWidth="1"/>
    <col min="1795" max="2046" width="12" style="1397"/>
    <col min="2047" max="2047" width="31.6640625" style="1397" customWidth="1"/>
    <col min="2048" max="2048" width="27.1640625" style="1397" customWidth="1"/>
    <col min="2049" max="2049" width="17" style="1397" customWidth="1"/>
    <col min="2050" max="2050" width="14.6640625" style="1397" customWidth="1"/>
    <col min="2051" max="2302" width="12" style="1397"/>
    <col min="2303" max="2303" width="31.6640625" style="1397" customWidth="1"/>
    <col min="2304" max="2304" width="27.1640625" style="1397" customWidth="1"/>
    <col min="2305" max="2305" width="17" style="1397" customWidth="1"/>
    <col min="2306" max="2306" width="14.6640625" style="1397" customWidth="1"/>
    <col min="2307" max="2558" width="12" style="1397"/>
    <col min="2559" max="2559" width="31.6640625" style="1397" customWidth="1"/>
    <col min="2560" max="2560" width="27.1640625" style="1397" customWidth="1"/>
    <col min="2561" max="2561" width="17" style="1397" customWidth="1"/>
    <col min="2562" max="2562" width="14.6640625" style="1397" customWidth="1"/>
    <col min="2563" max="2814" width="12" style="1397"/>
    <col min="2815" max="2815" width="31.6640625" style="1397" customWidth="1"/>
    <col min="2816" max="2816" width="27.1640625" style="1397" customWidth="1"/>
    <col min="2817" max="2817" width="17" style="1397" customWidth="1"/>
    <col min="2818" max="2818" width="14.6640625" style="1397" customWidth="1"/>
    <col min="2819" max="3070" width="12" style="1397"/>
    <col min="3071" max="3071" width="31.6640625" style="1397" customWidth="1"/>
    <col min="3072" max="3072" width="27.1640625" style="1397" customWidth="1"/>
    <col min="3073" max="3073" width="17" style="1397" customWidth="1"/>
    <col min="3074" max="3074" width="14.6640625" style="1397" customWidth="1"/>
    <col min="3075" max="3326" width="12" style="1397"/>
    <col min="3327" max="3327" width="31.6640625" style="1397" customWidth="1"/>
    <col min="3328" max="3328" width="27.1640625" style="1397" customWidth="1"/>
    <col min="3329" max="3329" width="17" style="1397" customWidth="1"/>
    <col min="3330" max="3330" width="14.6640625" style="1397" customWidth="1"/>
    <col min="3331" max="3582" width="12" style="1397"/>
    <col min="3583" max="3583" width="31.6640625" style="1397" customWidth="1"/>
    <col min="3584" max="3584" width="27.1640625" style="1397" customWidth="1"/>
    <col min="3585" max="3585" width="17" style="1397" customWidth="1"/>
    <col min="3586" max="3586" width="14.6640625" style="1397" customWidth="1"/>
    <col min="3587" max="3838" width="12" style="1397"/>
    <col min="3839" max="3839" width="31.6640625" style="1397" customWidth="1"/>
    <col min="3840" max="3840" width="27.1640625" style="1397" customWidth="1"/>
    <col min="3841" max="3841" width="17" style="1397" customWidth="1"/>
    <col min="3842" max="3842" width="14.6640625" style="1397" customWidth="1"/>
    <col min="3843" max="4094" width="12" style="1397"/>
    <col min="4095" max="4095" width="31.6640625" style="1397" customWidth="1"/>
    <col min="4096" max="4096" width="27.1640625" style="1397" customWidth="1"/>
    <col min="4097" max="4097" width="17" style="1397" customWidth="1"/>
    <col min="4098" max="4098" width="14.6640625" style="1397" customWidth="1"/>
    <col min="4099" max="4350" width="12" style="1397"/>
    <col min="4351" max="4351" width="31.6640625" style="1397" customWidth="1"/>
    <col min="4352" max="4352" width="27.1640625" style="1397" customWidth="1"/>
    <col min="4353" max="4353" width="17" style="1397" customWidth="1"/>
    <col min="4354" max="4354" width="14.6640625" style="1397" customWidth="1"/>
    <col min="4355" max="4606" width="12" style="1397"/>
    <col min="4607" max="4607" width="31.6640625" style="1397" customWidth="1"/>
    <col min="4608" max="4608" width="27.1640625" style="1397" customWidth="1"/>
    <col min="4609" max="4609" width="17" style="1397" customWidth="1"/>
    <col min="4610" max="4610" width="14.6640625" style="1397" customWidth="1"/>
    <col min="4611" max="4862" width="12" style="1397"/>
    <col min="4863" max="4863" width="31.6640625" style="1397" customWidth="1"/>
    <col min="4864" max="4864" width="27.1640625" style="1397" customWidth="1"/>
    <col min="4865" max="4865" width="17" style="1397" customWidth="1"/>
    <col min="4866" max="4866" width="14.6640625" style="1397" customWidth="1"/>
    <col min="4867" max="5118" width="12" style="1397"/>
    <col min="5119" max="5119" width="31.6640625" style="1397" customWidth="1"/>
    <col min="5120" max="5120" width="27.1640625" style="1397" customWidth="1"/>
    <col min="5121" max="5121" width="17" style="1397" customWidth="1"/>
    <col min="5122" max="5122" width="14.6640625" style="1397" customWidth="1"/>
    <col min="5123" max="5374" width="12" style="1397"/>
    <col min="5375" max="5375" width="31.6640625" style="1397" customWidth="1"/>
    <col min="5376" max="5376" width="27.1640625" style="1397" customWidth="1"/>
    <col min="5377" max="5377" width="17" style="1397" customWidth="1"/>
    <col min="5378" max="5378" width="14.6640625" style="1397" customWidth="1"/>
    <col min="5379" max="5630" width="12" style="1397"/>
    <col min="5631" max="5631" width="31.6640625" style="1397" customWidth="1"/>
    <col min="5632" max="5632" width="27.1640625" style="1397" customWidth="1"/>
    <col min="5633" max="5633" width="17" style="1397" customWidth="1"/>
    <col min="5634" max="5634" width="14.6640625" style="1397" customWidth="1"/>
    <col min="5635" max="5886" width="12" style="1397"/>
    <col min="5887" max="5887" width="31.6640625" style="1397" customWidth="1"/>
    <col min="5888" max="5888" width="27.1640625" style="1397" customWidth="1"/>
    <col min="5889" max="5889" width="17" style="1397" customWidth="1"/>
    <col min="5890" max="5890" width="14.6640625" style="1397" customWidth="1"/>
    <col min="5891" max="6142" width="12" style="1397"/>
    <col min="6143" max="6143" width="31.6640625" style="1397" customWidth="1"/>
    <col min="6144" max="6144" width="27.1640625" style="1397" customWidth="1"/>
    <col min="6145" max="6145" width="17" style="1397" customWidth="1"/>
    <col min="6146" max="6146" width="14.6640625" style="1397" customWidth="1"/>
    <col min="6147" max="6398" width="12" style="1397"/>
    <col min="6399" max="6399" width="31.6640625" style="1397" customWidth="1"/>
    <col min="6400" max="6400" width="27.1640625" style="1397" customWidth="1"/>
    <col min="6401" max="6401" width="17" style="1397" customWidth="1"/>
    <col min="6402" max="6402" width="14.6640625" style="1397" customWidth="1"/>
    <col min="6403" max="6654" width="12" style="1397"/>
    <col min="6655" max="6655" width="31.6640625" style="1397" customWidth="1"/>
    <col min="6656" max="6656" width="27.1640625" style="1397" customWidth="1"/>
    <col min="6657" max="6657" width="17" style="1397" customWidth="1"/>
    <col min="6658" max="6658" width="14.6640625" style="1397" customWidth="1"/>
    <col min="6659" max="6910" width="12" style="1397"/>
    <col min="6911" max="6911" width="31.6640625" style="1397" customWidth="1"/>
    <col min="6912" max="6912" width="27.1640625" style="1397" customWidth="1"/>
    <col min="6913" max="6913" width="17" style="1397" customWidth="1"/>
    <col min="6914" max="6914" width="14.6640625" style="1397" customWidth="1"/>
    <col min="6915" max="7166" width="12" style="1397"/>
    <col min="7167" max="7167" width="31.6640625" style="1397" customWidth="1"/>
    <col min="7168" max="7168" width="27.1640625" style="1397" customWidth="1"/>
    <col min="7169" max="7169" width="17" style="1397" customWidth="1"/>
    <col min="7170" max="7170" width="14.6640625" style="1397" customWidth="1"/>
    <col min="7171" max="7422" width="12" style="1397"/>
    <col min="7423" max="7423" width="31.6640625" style="1397" customWidth="1"/>
    <col min="7424" max="7424" width="27.1640625" style="1397" customWidth="1"/>
    <col min="7425" max="7425" width="17" style="1397" customWidth="1"/>
    <col min="7426" max="7426" width="14.6640625" style="1397" customWidth="1"/>
    <col min="7427" max="7678" width="12" style="1397"/>
    <col min="7679" max="7679" width="31.6640625" style="1397" customWidth="1"/>
    <col min="7680" max="7680" width="27.1640625" style="1397" customWidth="1"/>
    <col min="7681" max="7681" width="17" style="1397" customWidth="1"/>
    <col min="7682" max="7682" width="14.6640625" style="1397" customWidth="1"/>
    <col min="7683" max="7934" width="12" style="1397"/>
    <col min="7935" max="7935" width="31.6640625" style="1397" customWidth="1"/>
    <col min="7936" max="7936" width="27.1640625" style="1397" customWidth="1"/>
    <col min="7937" max="7937" width="17" style="1397" customWidth="1"/>
    <col min="7938" max="7938" width="14.6640625" style="1397" customWidth="1"/>
    <col min="7939" max="8190" width="12" style="1397"/>
    <col min="8191" max="8191" width="31.6640625" style="1397" customWidth="1"/>
    <col min="8192" max="8192" width="27.1640625" style="1397" customWidth="1"/>
    <col min="8193" max="8193" width="17" style="1397" customWidth="1"/>
    <col min="8194" max="8194" width="14.6640625" style="1397" customWidth="1"/>
    <col min="8195" max="8446" width="12" style="1397"/>
    <col min="8447" max="8447" width="31.6640625" style="1397" customWidth="1"/>
    <col min="8448" max="8448" width="27.1640625" style="1397" customWidth="1"/>
    <col min="8449" max="8449" width="17" style="1397" customWidth="1"/>
    <col min="8450" max="8450" width="14.6640625" style="1397" customWidth="1"/>
    <col min="8451" max="8702" width="12" style="1397"/>
    <col min="8703" max="8703" width="31.6640625" style="1397" customWidth="1"/>
    <col min="8704" max="8704" width="27.1640625" style="1397" customWidth="1"/>
    <col min="8705" max="8705" width="17" style="1397" customWidth="1"/>
    <col min="8706" max="8706" width="14.6640625" style="1397" customWidth="1"/>
    <col min="8707" max="8958" width="12" style="1397"/>
    <col min="8959" max="8959" width="31.6640625" style="1397" customWidth="1"/>
    <col min="8960" max="8960" width="27.1640625" style="1397" customWidth="1"/>
    <col min="8961" max="8961" width="17" style="1397" customWidth="1"/>
    <col min="8962" max="8962" width="14.6640625" style="1397" customWidth="1"/>
    <col min="8963" max="9214" width="12" style="1397"/>
    <col min="9215" max="9215" width="31.6640625" style="1397" customWidth="1"/>
    <col min="9216" max="9216" width="27.1640625" style="1397" customWidth="1"/>
    <col min="9217" max="9217" width="17" style="1397" customWidth="1"/>
    <col min="9218" max="9218" width="14.6640625" style="1397" customWidth="1"/>
    <col min="9219" max="9470" width="12" style="1397"/>
    <col min="9471" max="9471" width="31.6640625" style="1397" customWidth="1"/>
    <col min="9472" max="9472" width="27.1640625" style="1397" customWidth="1"/>
    <col min="9473" max="9473" width="17" style="1397" customWidth="1"/>
    <col min="9474" max="9474" width="14.6640625" style="1397" customWidth="1"/>
    <col min="9475" max="9726" width="12" style="1397"/>
    <col min="9727" max="9727" width="31.6640625" style="1397" customWidth="1"/>
    <col min="9728" max="9728" width="27.1640625" style="1397" customWidth="1"/>
    <col min="9729" max="9729" width="17" style="1397" customWidth="1"/>
    <col min="9730" max="9730" width="14.6640625" style="1397" customWidth="1"/>
    <col min="9731" max="9982" width="12" style="1397"/>
    <col min="9983" max="9983" width="31.6640625" style="1397" customWidth="1"/>
    <col min="9984" max="9984" width="27.1640625" style="1397" customWidth="1"/>
    <col min="9985" max="9985" width="17" style="1397" customWidth="1"/>
    <col min="9986" max="9986" width="14.6640625" style="1397" customWidth="1"/>
    <col min="9987" max="10238" width="12" style="1397"/>
    <col min="10239" max="10239" width="31.6640625" style="1397" customWidth="1"/>
    <col min="10240" max="10240" width="27.1640625" style="1397" customWidth="1"/>
    <col min="10241" max="10241" width="17" style="1397" customWidth="1"/>
    <col min="10242" max="10242" width="14.6640625" style="1397" customWidth="1"/>
    <col min="10243" max="10494" width="12" style="1397"/>
    <col min="10495" max="10495" width="31.6640625" style="1397" customWidth="1"/>
    <col min="10496" max="10496" width="27.1640625" style="1397" customWidth="1"/>
    <col min="10497" max="10497" width="17" style="1397" customWidth="1"/>
    <col min="10498" max="10498" width="14.6640625" style="1397" customWidth="1"/>
    <col min="10499" max="10750" width="12" style="1397"/>
    <col min="10751" max="10751" width="31.6640625" style="1397" customWidth="1"/>
    <col min="10752" max="10752" width="27.1640625" style="1397" customWidth="1"/>
    <col min="10753" max="10753" width="17" style="1397" customWidth="1"/>
    <col min="10754" max="10754" width="14.6640625" style="1397" customWidth="1"/>
    <col min="10755" max="11006" width="12" style="1397"/>
    <col min="11007" max="11007" width="31.6640625" style="1397" customWidth="1"/>
    <col min="11008" max="11008" width="27.1640625" style="1397" customWidth="1"/>
    <col min="11009" max="11009" width="17" style="1397" customWidth="1"/>
    <col min="11010" max="11010" width="14.6640625" style="1397" customWidth="1"/>
    <col min="11011" max="11262" width="12" style="1397"/>
    <col min="11263" max="11263" width="31.6640625" style="1397" customWidth="1"/>
    <col min="11264" max="11264" width="27.1640625" style="1397" customWidth="1"/>
    <col min="11265" max="11265" width="17" style="1397" customWidth="1"/>
    <col min="11266" max="11266" width="14.6640625" style="1397" customWidth="1"/>
    <col min="11267" max="11518" width="12" style="1397"/>
    <col min="11519" max="11519" width="31.6640625" style="1397" customWidth="1"/>
    <col min="11520" max="11520" width="27.1640625" style="1397" customWidth="1"/>
    <col min="11521" max="11521" width="17" style="1397" customWidth="1"/>
    <col min="11522" max="11522" width="14.6640625" style="1397" customWidth="1"/>
    <col min="11523" max="11774" width="12" style="1397"/>
    <col min="11775" max="11775" width="31.6640625" style="1397" customWidth="1"/>
    <col min="11776" max="11776" width="27.1640625" style="1397" customWidth="1"/>
    <col min="11777" max="11777" width="17" style="1397" customWidth="1"/>
    <col min="11778" max="11778" width="14.6640625" style="1397" customWidth="1"/>
    <col min="11779" max="12030" width="12" style="1397"/>
    <col min="12031" max="12031" width="31.6640625" style="1397" customWidth="1"/>
    <col min="12032" max="12032" width="27.1640625" style="1397" customWidth="1"/>
    <col min="12033" max="12033" width="17" style="1397" customWidth="1"/>
    <col min="12034" max="12034" width="14.6640625" style="1397" customWidth="1"/>
    <col min="12035" max="12286" width="12" style="1397"/>
    <col min="12287" max="12287" width="31.6640625" style="1397" customWidth="1"/>
    <col min="12288" max="12288" width="27.1640625" style="1397" customWidth="1"/>
    <col min="12289" max="12289" width="17" style="1397" customWidth="1"/>
    <col min="12290" max="12290" width="14.6640625" style="1397" customWidth="1"/>
    <col min="12291" max="12542" width="12" style="1397"/>
    <col min="12543" max="12543" width="31.6640625" style="1397" customWidth="1"/>
    <col min="12544" max="12544" width="27.1640625" style="1397" customWidth="1"/>
    <col min="12545" max="12545" width="17" style="1397" customWidth="1"/>
    <col min="12546" max="12546" width="14.6640625" style="1397" customWidth="1"/>
    <col min="12547" max="12798" width="12" style="1397"/>
    <col min="12799" max="12799" width="31.6640625" style="1397" customWidth="1"/>
    <col min="12800" max="12800" width="27.1640625" style="1397" customWidth="1"/>
    <col min="12801" max="12801" width="17" style="1397" customWidth="1"/>
    <col min="12802" max="12802" width="14.6640625" style="1397" customWidth="1"/>
    <col min="12803" max="13054" width="12" style="1397"/>
    <col min="13055" max="13055" width="31.6640625" style="1397" customWidth="1"/>
    <col min="13056" max="13056" width="27.1640625" style="1397" customWidth="1"/>
    <col min="13057" max="13057" width="17" style="1397" customWidth="1"/>
    <col min="13058" max="13058" width="14.6640625" style="1397" customWidth="1"/>
    <col min="13059" max="13310" width="12" style="1397"/>
    <col min="13311" max="13311" width="31.6640625" style="1397" customWidth="1"/>
    <col min="13312" max="13312" width="27.1640625" style="1397" customWidth="1"/>
    <col min="13313" max="13313" width="17" style="1397" customWidth="1"/>
    <col min="13314" max="13314" width="14.6640625" style="1397" customWidth="1"/>
    <col min="13315" max="13566" width="12" style="1397"/>
    <col min="13567" max="13567" width="31.6640625" style="1397" customWidth="1"/>
    <col min="13568" max="13568" width="27.1640625" style="1397" customWidth="1"/>
    <col min="13569" max="13569" width="17" style="1397" customWidth="1"/>
    <col min="13570" max="13570" width="14.6640625" style="1397" customWidth="1"/>
    <col min="13571" max="13822" width="12" style="1397"/>
    <col min="13823" max="13823" width="31.6640625" style="1397" customWidth="1"/>
    <col min="13824" max="13824" width="27.1640625" style="1397" customWidth="1"/>
    <col min="13825" max="13825" width="17" style="1397" customWidth="1"/>
    <col min="13826" max="13826" width="14.6640625" style="1397" customWidth="1"/>
    <col min="13827" max="14078" width="12" style="1397"/>
    <col min="14079" max="14079" width="31.6640625" style="1397" customWidth="1"/>
    <col min="14080" max="14080" width="27.1640625" style="1397" customWidth="1"/>
    <col min="14081" max="14081" width="17" style="1397" customWidth="1"/>
    <col min="14082" max="14082" width="14.6640625" style="1397" customWidth="1"/>
    <col min="14083" max="14334" width="12" style="1397"/>
    <col min="14335" max="14335" width="31.6640625" style="1397" customWidth="1"/>
    <col min="14336" max="14336" width="27.1640625" style="1397" customWidth="1"/>
    <col min="14337" max="14337" width="17" style="1397" customWidth="1"/>
    <col min="14338" max="14338" width="14.6640625" style="1397" customWidth="1"/>
    <col min="14339" max="14590" width="12" style="1397"/>
    <col min="14591" max="14591" width="31.6640625" style="1397" customWidth="1"/>
    <col min="14592" max="14592" width="27.1640625" style="1397" customWidth="1"/>
    <col min="14593" max="14593" width="17" style="1397" customWidth="1"/>
    <col min="14594" max="14594" width="14.6640625" style="1397" customWidth="1"/>
    <col min="14595" max="14846" width="12" style="1397"/>
    <col min="14847" max="14847" width="31.6640625" style="1397" customWidth="1"/>
    <col min="14848" max="14848" width="27.1640625" style="1397" customWidth="1"/>
    <col min="14849" max="14849" width="17" style="1397" customWidth="1"/>
    <col min="14850" max="14850" width="14.6640625" style="1397" customWidth="1"/>
    <col min="14851" max="15102" width="12" style="1397"/>
    <col min="15103" max="15103" width="31.6640625" style="1397" customWidth="1"/>
    <col min="15104" max="15104" width="27.1640625" style="1397" customWidth="1"/>
    <col min="15105" max="15105" width="17" style="1397" customWidth="1"/>
    <col min="15106" max="15106" width="14.6640625" style="1397" customWidth="1"/>
    <col min="15107" max="15358" width="12" style="1397"/>
    <col min="15359" max="15359" width="31.6640625" style="1397" customWidth="1"/>
    <col min="15360" max="15360" width="27.1640625" style="1397" customWidth="1"/>
    <col min="15361" max="15361" width="17" style="1397" customWidth="1"/>
    <col min="15362" max="15362" width="14.6640625" style="1397" customWidth="1"/>
    <col min="15363" max="15614" width="12" style="1397"/>
    <col min="15615" max="15615" width="31.6640625" style="1397" customWidth="1"/>
    <col min="15616" max="15616" width="27.1640625" style="1397" customWidth="1"/>
    <col min="15617" max="15617" width="17" style="1397" customWidth="1"/>
    <col min="15618" max="15618" width="14.6640625" style="1397" customWidth="1"/>
    <col min="15619" max="15870" width="12" style="1397"/>
    <col min="15871" max="15871" width="31.6640625" style="1397" customWidth="1"/>
    <col min="15872" max="15872" width="27.1640625" style="1397" customWidth="1"/>
    <col min="15873" max="15873" width="17" style="1397" customWidth="1"/>
    <col min="15874" max="15874" width="14.6640625" style="1397" customWidth="1"/>
    <col min="15875" max="16126" width="12" style="1397"/>
    <col min="16127" max="16127" width="31.6640625" style="1397" customWidth="1"/>
    <col min="16128" max="16128" width="27.1640625" style="1397" customWidth="1"/>
    <col min="16129" max="16129" width="17" style="1397" customWidth="1"/>
    <col min="16130" max="16130" width="14.6640625" style="1397" customWidth="1"/>
    <col min="16131" max="16384" width="12" style="1397"/>
  </cols>
  <sheetData>
    <row r="1" spans="1:61">
      <c r="A1" s="2764"/>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765"/>
      <c r="AW1" s="2765"/>
      <c r="AX1" s="2765"/>
      <c r="AY1" s="2765"/>
      <c r="AZ1" s="2765"/>
      <c r="BA1" s="2766"/>
    </row>
    <row r="2" spans="1:61" ht="27.75" customHeight="1" thickBot="1">
      <c r="A2" s="3427" t="s">
        <v>7</v>
      </c>
      <c r="B2" s="3428"/>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c r="AG2" s="3428"/>
      <c r="AH2" s="3428"/>
      <c r="AI2" s="3428"/>
      <c r="AJ2" s="3428"/>
      <c r="AK2" s="3428"/>
      <c r="AL2" s="3428"/>
      <c r="AM2" s="3428"/>
      <c r="AN2" s="3428"/>
      <c r="AO2" s="3428"/>
      <c r="AP2" s="3428"/>
      <c r="AQ2" s="3428"/>
      <c r="AR2" s="3428"/>
      <c r="AS2" s="3428"/>
      <c r="AT2" s="3428"/>
      <c r="AU2" s="3428"/>
      <c r="AV2" s="3428"/>
      <c r="AW2" s="3428"/>
      <c r="AX2" s="3428"/>
      <c r="AY2" s="3428"/>
      <c r="AZ2" s="3428"/>
      <c r="BA2" s="3429"/>
    </row>
    <row r="3" spans="1:61" s="1398" customFormat="1" ht="36.75" customHeight="1">
      <c r="A3" s="3408" t="s">
        <v>58</v>
      </c>
      <c r="B3" s="3409"/>
      <c r="C3" s="3425" t="s">
        <v>316</v>
      </c>
      <c r="D3" s="3426"/>
      <c r="E3" s="3426"/>
      <c r="F3" s="3426"/>
      <c r="G3" s="3426"/>
      <c r="H3" s="3426"/>
      <c r="I3" s="3426"/>
      <c r="J3" s="3426"/>
      <c r="K3" s="3426"/>
      <c r="L3" s="3426"/>
      <c r="M3" s="3426"/>
      <c r="N3" s="3426"/>
      <c r="O3" s="3426"/>
      <c r="P3" s="3426"/>
      <c r="Q3" s="3426"/>
      <c r="R3" s="3426"/>
      <c r="S3" s="3426"/>
      <c r="T3" s="3426"/>
      <c r="U3" s="3426"/>
      <c r="V3" s="3426"/>
      <c r="W3" s="3426"/>
      <c r="X3" s="3426"/>
      <c r="Y3" s="3426"/>
      <c r="Z3" s="3426"/>
      <c r="AA3" s="3426"/>
      <c r="AB3" s="3426"/>
      <c r="AC3" s="3426"/>
      <c r="AD3" s="3426"/>
      <c r="AE3" s="3426"/>
      <c r="AF3" s="3426"/>
      <c r="AG3" s="3426"/>
      <c r="AH3" s="3426"/>
      <c r="AI3" s="3426"/>
      <c r="AJ3" s="3426"/>
      <c r="AK3" s="3426"/>
      <c r="AL3" s="3426"/>
      <c r="AM3" s="3426"/>
      <c r="AN3" s="3426"/>
      <c r="AO3" s="3426"/>
      <c r="AP3" s="3426"/>
      <c r="AQ3" s="3426"/>
      <c r="AR3" s="3426"/>
      <c r="AS3" s="3426"/>
      <c r="AT3" s="3426"/>
      <c r="AU3" s="3426"/>
      <c r="AV3" s="3426"/>
      <c r="AW3" s="3426"/>
      <c r="AX3" s="3426"/>
      <c r="AY3" s="3426"/>
      <c r="AZ3" s="3426"/>
      <c r="BA3" s="2767" t="s">
        <v>344</v>
      </c>
    </row>
    <row r="4" spans="1:61" s="1398" customFormat="1" ht="28.5" customHeight="1">
      <c r="A4" s="3410" t="s">
        <v>59</v>
      </c>
      <c r="B4" s="3411"/>
      <c r="C4" s="3405" t="s">
        <v>345</v>
      </c>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c r="AX4" s="3406"/>
      <c r="AY4" s="3406"/>
      <c r="AZ4" s="3406"/>
      <c r="BA4" s="3407"/>
    </row>
    <row r="5" spans="1:61" s="1398" customFormat="1" ht="24.75" customHeight="1">
      <c r="A5" s="3410" t="s">
        <v>8</v>
      </c>
      <c r="B5" s="3411"/>
      <c r="C5" s="3405" t="s">
        <v>234</v>
      </c>
      <c r="D5" s="3406"/>
      <c r="E5" s="3406"/>
      <c r="F5" s="3406"/>
      <c r="G5" s="3406"/>
      <c r="H5" s="3406"/>
      <c r="I5" s="3406"/>
      <c r="J5" s="3406"/>
      <c r="K5" s="3406"/>
      <c r="L5" s="3406"/>
      <c r="M5" s="3406"/>
      <c r="N5" s="3406"/>
      <c r="O5" s="3406"/>
      <c r="P5" s="3406"/>
      <c r="Q5" s="3406"/>
      <c r="R5" s="3406"/>
      <c r="S5" s="3406"/>
      <c r="T5" s="3406"/>
      <c r="U5" s="3406"/>
      <c r="V5" s="3406"/>
      <c r="W5" s="3406"/>
      <c r="X5" s="3406"/>
      <c r="Y5" s="3406"/>
      <c r="Z5" s="3406"/>
      <c r="AA5" s="3406"/>
      <c r="AB5" s="3406"/>
      <c r="AC5" s="3406"/>
      <c r="AD5" s="3406"/>
      <c r="AE5" s="3406"/>
      <c r="AF5" s="3406"/>
      <c r="AG5" s="3406"/>
      <c r="AH5" s="3406"/>
      <c r="AI5" s="3406"/>
      <c r="AJ5" s="3406"/>
      <c r="AK5" s="3406"/>
      <c r="AL5" s="3406"/>
      <c r="AM5" s="3406"/>
      <c r="AN5" s="3406"/>
      <c r="AO5" s="3406"/>
      <c r="AP5" s="3406"/>
      <c r="AQ5" s="3406"/>
      <c r="AR5" s="3406"/>
      <c r="AS5" s="3406"/>
      <c r="AT5" s="3406"/>
      <c r="AU5" s="3406"/>
      <c r="AV5" s="3406"/>
      <c r="AW5" s="3406"/>
      <c r="AX5" s="3406"/>
      <c r="AY5" s="3406"/>
      <c r="AZ5" s="3406"/>
      <c r="BA5" s="3407"/>
    </row>
    <row r="6" spans="1:61" s="1398" customFormat="1" ht="26.25" customHeight="1">
      <c r="A6" s="3410" t="s">
        <v>61</v>
      </c>
      <c r="B6" s="3411"/>
      <c r="C6" s="3405" t="s">
        <v>346</v>
      </c>
      <c r="D6" s="3406"/>
      <c r="E6" s="3406"/>
      <c r="F6" s="3406"/>
      <c r="G6" s="3406"/>
      <c r="H6" s="3406"/>
      <c r="I6" s="3406"/>
      <c r="J6" s="3406"/>
      <c r="K6" s="3406"/>
      <c r="L6" s="3406"/>
      <c r="M6" s="3406"/>
      <c r="N6" s="3406"/>
      <c r="O6" s="3406"/>
      <c r="P6" s="3406"/>
      <c r="Q6" s="3406"/>
      <c r="R6" s="3406"/>
      <c r="S6" s="3406"/>
      <c r="T6" s="3406"/>
      <c r="U6" s="3406"/>
      <c r="V6" s="3406"/>
      <c r="W6" s="3406"/>
      <c r="X6" s="3406"/>
      <c r="Y6" s="3406"/>
      <c r="Z6" s="3406"/>
      <c r="AA6" s="3406"/>
      <c r="AB6" s="3406"/>
      <c r="AC6" s="3406"/>
      <c r="AD6" s="3406"/>
      <c r="AE6" s="3406"/>
      <c r="AF6" s="3406"/>
      <c r="AG6" s="3406"/>
      <c r="AH6" s="3406"/>
      <c r="AI6" s="3406"/>
      <c r="AJ6" s="3406"/>
      <c r="AK6" s="3406"/>
      <c r="AL6" s="3406"/>
      <c r="AM6" s="3406"/>
      <c r="AN6" s="3406"/>
      <c r="AO6" s="3406"/>
      <c r="AP6" s="3406"/>
      <c r="AQ6" s="3406"/>
      <c r="AR6" s="3406"/>
      <c r="AS6" s="3406"/>
      <c r="AT6" s="3406"/>
      <c r="AU6" s="3406"/>
      <c r="AV6" s="3406"/>
      <c r="AW6" s="3406"/>
      <c r="AX6" s="3406"/>
      <c r="AY6" s="3406"/>
      <c r="AZ6" s="3406"/>
      <c r="BA6" s="3407"/>
    </row>
    <row r="7" spans="1:61" s="1398" customFormat="1" ht="26.25" customHeight="1">
      <c r="A7" s="3410" t="s">
        <v>62</v>
      </c>
      <c r="B7" s="3411"/>
      <c r="C7" s="3405" t="s">
        <v>347</v>
      </c>
      <c r="D7" s="3406"/>
      <c r="E7" s="3406"/>
      <c r="F7" s="3406"/>
      <c r="G7" s="3406"/>
      <c r="H7" s="3406"/>
      <c r="I7" s="3406"/>
      <c r="J7" s="3406"/>
      <c r="K7" s="3406"/>
      <c r="L7" s="3406"/>
      <c r="M7" s="3406"/>
      <c r="N7" s="3406"/>
      <c r="O7" s="3406"/>
      <c r="P7" s="3406"/>
      <c r="Q7" s="3406"/>
      <c r="R7" s="3406"/>
      <c r="S7" s="3406"/>
      <c r="T7" s="3406"/>
      <c r="U7" s="3406"/>
      <c r="V7" s="3406"/>
      <c r="W7" s="3406"/>
      <c r="X7" s="3406"/>
      <c r="Y7" s="3406"/>
      <c r="Z7" s="3406"/>
      <c r="AA7" s="3406"/>
      <c r="AB7" s="3406"/>
      <c r="AC7" s="3406"/>
      <c r="AD7" s="3406"/>
      <c r="AE7" s="3406"/>
      <c r="AF7" s="3406"/>
      <c r="AG7" s="3406"/>
      <c r="AH7" s="3406"/>
      <c r="AI7" s="3406"/>
      <c r="AJ7" s="3406"/>
      <c r="AK7" s="3406"/>
      <c r="AL7" s="3406"/>
      <c r="AM7" s="3406"/>
      <c r="AN7" s="3406"/>
      <c r="AO7" s="3406"/>
      <c r="AP7" s="3406"/>
      <c r="AQ7" s="3406"/>
      <c r="AR7" s="3406"/>
      <c r="AS7" s="3406"/>
      <c r="AT7" s="3406"/>
      <c r="AU7" s="3406"/>
      <c r="AV7" s="3406"/>
      <c r="AW7" s="3406"/>
      <c r="AX7" s="3406"/>
      <c r="AY7" s="3406"/>
      <c r="AZ7" s="3406"/>
      <c r="BA7" s="3407"/>
    </row>
    <row r="8" spans="1:61" s="1398" customFormat="1" ht="24" customHeight="1">
      <c r="A8" s="3410" t="s">
        <v>65</v>
      </c>
      <c r="B8" s="3411"/>
      <c r="C8" s="3405" t="s">
        <v>12</v>
      </c>
      <c r="D8" s="3406"/>
      <c r="E8" s="3406"/>
      <c r="F8" s="3406"/>
      <c r="G8" s="3406"/>
      <c r="H8" s="3406"/>
      <c r="I8" s="3406"/>
      <c r="J8" s="3406"/>
      <c r="K8" s="3406"/>
      <c r="L8" s="3406"/>
      <c r="M8" s="3406"/>
      <c r="N8" s="3406"/>
      <c r="O8" s="3406"/>
      <c r="P8" s="3406"/>
      <c r="Q8" s="3406"/>
      <c r="R8" s="3406"/>
      <c r="S8" s="3406"/>
      <c r="T8" s="3406"/>
      <c r="U8" s="3406"/>
      <c r="V8" s="3406"/>
      <c r="W8" s="3406"/>
      <c r="X8" s="3406"/>
      <c r="Y8" s="3406"/>
      <c r="Z8" s="3406"/>
      <c r="AA8" s="3406"/>
      <c r="AB8" s="3406"/>
      <c r="AC8" s="3406"/>
      <c r="AD8" s="3406"/>
      <c r="AE8" s="3406"/>
      <c r="AF8" s="3406"/>
      <c r="AG8" s="3406"/>
      <c r="AH8" s="3406"/>
      <c r="AI8" s="3406"/>
      <c r="AJ8" s="3406"/>
      <c r="AK8" s="3406"/>
      <c r="AL8" s="3406"/>
      <c r="AM8" s="3406"/>
      <c r="AN8" s="3406"/>
      <c r="AO8" s="3406"/>
      <c r="AP8" s="3406"/>
      <c r="AQ8" s="3406"/>
      <c r="AR8" s="3406"/>
      <c r="AS8" s="3406"/>
      <c r="AT8" s="3406"/>
      <c r="AU8" s="3406"/>
      <c r="AV8" s="3406"/>
      <c r="AW8" s="3406"/>
      <c r="AX8" s="3406"/>
      <c r="AY8" s="3406"/>
      <c r="AZ8" s="3406"/>
      <c r="BA8" s="3407"/>
    </row>
    <row r="9" spans="1:61" s="1398" customFormat="1" ht="24" customHeight="1">
      <c r="A9" s="3410" t="s">
        <v>9</v>
      </c>
      <c r="B9" s="3411"/>
      <c r="C9" s="3405" t="s">
        <v>348</v>
      </c>
      <c r="D9" s="3406"/>
      <c r="E9" s="3406"/>
      <c r="F9" s="3406"/>
      <c r="G9" s="3406"/>
      <c r="H9" s="3406"/>
      <c r="I9" s="3406"/>
      <c r="J9" s="3406"/>
      <c r="K9" s="3406"/>
      <c r="L9" s="3406"/>
      <c r="M9" s="3406"/>
      <c r="N9" s="3406"/>
      <c r="O9" s="3406"/>
      <c r="P9" s="3406"/>
      <c r="Q9" s="3406"/>
      <c r="R9" s="3406"/>
      <c r="S9" s="3406"/>
      <c r="T9" s="3406"/>
      <c r="U9" s="3406"/>
      <c r="V9" s="3406"/>
      <c r="W9" s="3406"/>
      <c r="X9" s="3406"/>
      <c r="Y9" s="3406"/>
      <c r="Z9" s="3406"/>
      <c r="AA9" s="3406"/>
      <c r="AB9" s="3406"/>
      <c r="AC9" s="3406"/>
      <c r="AD9" s="3406"/>
      <c r="AE9" s="3406"/>
      <c r="AF9" s="3406"/>
      <c r="AG9" s="3406"/>
      <c r="AH9" s="3406"/>
      <c r="AI9" s="3406"/>
      <c r="AJ9" s="3406"/>
      <c r="AK9" s="3406"/>
      <c r="AL9" s="3406"/>
      <c r="AM9" s="3406"/>
      <c r="AN9" s="3406"/>
      <c r="AO9" s="3406"/>
      <c r="AP9" s="3406"/>
      <c r="AQ9" s="3406"/>
      <c r="AR9" s="3406"/>
      <c r="AS9" s="3406"/>
      <c r="AT9" s="3406"/>
      <c r="AU9" s="3406"/>
      <c r="AV9" s="3406"/>
      <c r="AW9" s="3406"/>
      <c r="AX9" s="3406"/>
      <c r="AY9" s="3406"/>
      <c r="AZ9" s="3406"/>
      <c r="BA9" s="3407"/>
    </row>
    <row r="10" spans="1:61" s="1400" customFormat="1" ht="36" customHeight="1">
      <c r="A10" s="3410" t="s">
        <v>66</v>
      </c>
      <c r="B10" s="3411"/>
      <c r="C10" s="3405" t="s">
        <v>349</v>
      </c>
      <c r="D10" s="3406"/>
      <c r="E10" s="3406"/>
      <c r="F10" s="3406"/>
      <c r="G10" s="3406"/>
      <c r="H10" s="3406"/>
      <c r="I10" s="3406"/>
      <c r="J10" s="3406"/>
      <c r="K10" s="3406"/>
      <c r="L10" s="3406"/>
      <c r="M10" s="3406"/>
      <c r="N10" s="3406"/>
      <c r="O10" s="3406"/>
      <c r="P10" s="3406"/>
      <c r="Q10" s="3406"/>
      <c r="R10" s="3406"/>
      <c r="S10" s="3406"/>
      <c r="T10" s="3406"/>
      <c r="U10" s="3406"/>
      <c r="V10" s="3406"/>
      <c r="W10" s="3406"/>
      <c r="X10" s="3406"/>
      <c r="Y10" s="3406"/>
      <c r="Z10" s="3406"/>
      <c r="AA10" s="3406"/>
      <c r="AB10" s="3406"/>
      <c r="AC10" s="3406"/>
      <c r="AD10" s="3406"/>
      <c r="AE10" s="3406"/>
      <c r="AF10" s="3406"/>
      <c r="AG10" s="3406"/>
      <c r="AH10" s="3406"/>
      <c r="AI10" s="3406"/>
      <c r="AJ10" s="3406"/>
      <c r="AK10" s="3406"/>
      <c r="AL10" s="3406"/>
      <c r="AM10" s="3406"/>
      <c r="AN10" s="3406"/>
      <c r="AO10" s="3406"/>
      <c r="AP10" s="3406"/>
      <c r="AQ10" s="3406"/>
      <c r="AR10" s="3406"/>
      <c r="AS10" s="3406"/>
      <c r="AT10" s="3406"/>
      <c r="AU10" s="3406"/>
      <c r="AV10" s="3406"/>
      <c r="AW10" s="3406"/>
      <c r="AX10" s="3406"/>
      <c r="AY10" s="3406"/>
      <c r="AZ10" s="3406"/>
      <c r="BA10" s="3407"/>
    </row>
    <row r="11" spans="1:61" s="1398" customFormat="1" ht="43.5" customHeight="1" thickBot="1">
      <c r="A11" s="3413" t="s">
        <v>350</v>
      </c>
      <c r="B11" s="3414"/>
      <c r="C11" s="3415" t="s">
        <v>672</v>
      </c>
      <c r="D11" s="3416"/>
      <c r="E11" s="3416"/>
      <c r="F11" s="3416"/>
      <c r="G11" s="3416"/>
      <c r="H11" s="3416"/>
      <c r="I11" s="3416"/>
      <c r="J11" s="3416"/>
      <c r="K11" s="3416"/>
      <c r="L11" s="3416"/>
      <c r="M11" s="3416"/>
      <c r="N11" s="3416"/>
      <c r="O11" s="3416"/>
      <c r="P11" s="3416"/>
      <c r="Q11" s="3416"/>
      <c r="R11" s="3416"/>
      <c r="S11" s="3416"/>
      <c r="T11" s="3416"/>
      <c r="U11" s="3416"/>
      <c r="V11" s="3416"/>
      <c r="W11" s="3416"/>
      <c r="X11" s="3416"/>
      <c r="Y11" s="3416"/>
      <c r="Z11" s="3416"/>
      <c r="AA11" s="3416"/>
      <c r="AB11" s="3416"/>
      <c r="AC11" s="3416"/>
      <c r="AD11" s="3416"/>
      <c r="AE11" s="3416"/>
      <c r="AF11" s="3416"/>
      <c r="AG11" s="3416"/>
      <c r="AH11" s="3416"/>
      <c r="AI11" s="3416"/>
      <c r="AJ11" s="3416"/>
      <c r="AK11" s="3416"/>
      <c r="AL11" s="3416"/>
      <c r="AM11" s="3416"/>
      <c r="AN11" s="3416"/>
      <c r="AO11" s="3416"/>
      <c r="AP11" s="3416"/>
      <c r="AQ11" s="3416"/>
      <c r="AR11" s="3416"/>
      <c r="AS11" s="3416"/>
      <c r="AT11" s="3416"/>
      <c r="AU11" s="3416"/>
      <c r="AV11" s="3416"/>
      <c r="AW11" s="3416"/>
      <c r="AX11" s="3416"/>
      <c r="AY11" s="3416"/>
      <c r="AZ11" s="3416"/>
      <c r="BA11" s="3417"/>
    </row>
    <row r="12" spans="1:61">
      <c r="A12" s="2496" t="s">
        <v>280</v>
      </c>
      <c r="B12" s="2496"/>
      <c r="C12" s="2494"/>
      <c r="D12" s="2494"/>
      <c r="E12" s="2494"/>
      <c r="F12" s="2494"/>
      <c r="G12" s="2494"/>
      <c r="H12" s="2494"/>
      <c r="I12" s="2494"/>
      <c r="J12" s="2494"/>
      <c r="K12" s="2494"/>
      <c r="L12" s="2494"/>
      <c r="M12" s="2494"/>
      <c r="N12" s="2494"/>
      <c r="O12" s="2494"/>
      <c r="P12" s="2494"/>
      <c r="Q12" s="2494"/>
      <c r="R12" s="2494"/>
      <c r="S12" s="2494"/>
      <c r="T12" s="2494"/>
      <c r="U12" s="2494"/>
      <c r="V12" s="2494"/>
      <c r="W12" s="2494"/>
      <c r="X12" s="2494"/>
      <c r="Y12" s="2494"/>
      <c r="Z12" s="2494"/>
      <c r="AA12" s="2494"/>
      <c r="AB12" s="2494"/>
      <c r="AC12" s="2494"/>
      <c r="AD12" s="2494"/>
      <c r="AE12" s="2494"/>
      <c r="AF12" s="2494"/>
      <c r="AG12" s="2494"/>
      <c r="AH12" s="2494"/>
      <c r="AI12" s="2494"/>
      <c r="AJ12" s="2494"/>
      <c r="AK12" s="2494"/>
      <c r="AL12" s="2494"/>
      <c r="AM12" s="2494"/>
      <c r="AN12" s="2494"/>
      <c r="AO12" s="2494"/>
      <c r="AP12" s="2494"/>
      <c r="AQ12" s="2494"/>
      <c r="AR12" s="2494"/>
      <c r="AS12" s="2494"/>
      <c r="AT12" s="2494"/>
      <c r="AU12" s="1401"/>
      <c r="AV12" s="1401"/>
    </row>
    <row r="13" spans="1:61">
      <c r="A13" s="3412" t="s">
        <v>281</v>
      </c>
      <c r="B13" s="3412"/>
      <c r="C13" s="3404" t="s">
        <v>282</v>
      </c>
      <c r="D13" s="3404"/>
      <c r="E13" s="660">
        <v>41640</v>
      </c>
      <c r="F13" s="660">
        <v>41671</v>
      </c>
      <c r="G13" s="660">
        <v>41699</v>
      </c>
      <c r="H13" s="660">
        <v>41730</v>
      </c>
      <c r="I13" s="660">
        <v>41760</v>
      </c>
      <c r="J13" s="660">
        <v>41791</v>
      </c>
      <c r="K13" s="660">
        <v>41821</v>
      </c>
      <c r="L13" s="660">
        <v>41852</v>
      </c>
      <c r="M13" s="660">
        <v>41883</v>
      </c>
      <c r="N13" s="660">
        <v>41913</v>
      </c>
      <c r="O13" s="660">
        <v>41944</v>
      </c>
      <c r="P13" s="660">
        <v>41974</v>
      </c>
      <c r="Q13" s="660">
        <v>42005</v>
      </c>
      <c r="R13" s="660">
        <v>42036</v>
      </c>
      <c r="S13" s="660">
        <v>42064</v>
      </c>
      <c r="T13" s="660">
        <v>42095</v>
      </c>
      <c r="U13" s="660">
        <v>42125</v>
      </c>
      <c r="V13" s="660">
        <v>42156</v>
      </c>
      <c r="W13" s="660">
        <v>42186</v>
      </c>
      <c r="X13" s="660">
        <v>42217</v>
      </c>
      <c r="Y13" s="660">
        <v>42248</v>
      </c>
      <c r="Z13" s="660">
        <v>42278</v>
      </c>
      <c r="AA13" s="660">
        <v>42309</v>
      </c>
      <c r="AB13" s="660">
        <v>42339</v>
      </c>
      <c r="AC13" s="660">
        <v>42370</v>
      </c>
      <c r="AD13" s="660">
        <v>42401</v>
      </c>
      <c r="AE13" s="660">
        <v>42430</v>
      </c>
      <c r="AF13" s="660">
        <v>42461</v>
      </c>
      <c r="AG13" s="660">
        <v>42491</v>
      </c>
      <c r="AH13" s="660">
        <v>42522</v>
      </c>
      <c r="AI13" s="660">
        <v>42552</v>
      </c>
      <c r="AJ13" s="660">
        <v>42583</v>
      </c>
      <c r="AK13" s="660">
        <v>42614</v>
      </c>
      <c r="AL13" s="660">
        <v>42644</v>
      </c>
      <c r="AM13" s="660">
        <v>42675</v>
      </c>
      <c r="AN13" s="660">
        <v>42705</v>
      </c>
      <c r="AO13" s="660">
        <v>42736</v>
      </c>
      <c r="AP13" s="660">
        <v>42767</v>
      </c>
      <c r="AQ13" s="660">
        <v>42795</v>
      </c>
      <c r="AR13" s="660">
        <v>42826</v>
      </c>
      <c r="AS13" s="660">
        <v>42856</v>
      </c>
      <c r="AT13" s="660">
        <v>42887</v>
      </c>
      <c r="AU13" s="660">
        <v>42917</v>
      </c>
      <c r="AV13" s="660">
        <v>42948</v>
      </c>
      <c r="AW13" s="660">
        <v>42979</v>
      </c>
      <c r="AX13" s="660">
        <v>43009</v>
      </c>
      <c r="AY13" s="660">
        <v>43040</v>
      </c>
      <c r="AZ13" s="660">
        <v>43070</v>
      </c>
      <c r="BA13" s="660">
        <v>43101</v>
      </c>
      <c r="BB13" s="660">
        <v>43132</v>
      </c>
      <c r="BC13" s="660">
        <v>43160</v>
      </c>
      <c r="BD13" s="660">
        <v>43191</v>
      </c>
      <c r="BE13" s="660">
        <v>43221</v>
      </c>
      <c r="BF13" s="660">
        <v>43252</v>
      </c>
      <c r="BG13" s="660">
        <v>43282</v>
      </c>
      <c r="BH13" s="660">
        <v>43313</v>
      </c>
      <c r="BI13" s="660">
        <v>43344</v>
      </c>
    </row>
    <row r="14" spans="1:61">
      <c r="A14" s="3388" t="s">
        <v>273</v>
      </c>
      <c r="B14" s="3389"/>
      <c r="C14" s="3392" t="s">
        <v>283</v>
      </c>
      <c r="D14" s="3392"/>
      <c r="E14" s="1402">
        <v>5786.92</v>
      </c>
      <c r="F14" s="1402">
        <v>6718.73</v>
      </c>
      <c r="G14" s="1402">
        <v>2913.09</v>
      </c>
      <c r="H14" s="1402">
        <v>3300.27</v>
      </c>
      <c r="I14" s="1402">
        <v>5922.7300000000005</v>
      </c>
      <c r="J14" s="1402">
        <v>4492.3999999999996</v>
      </c>
      <c r="K14" s="1402">
        <v>3372.13</v>
      </c>
      <c r="L14" s="1402">
        <v>5033.66</v>
      </c>
      <c r="M14" s="1402">
        <v>1854.9499999999998</v>
      </c>
      <c r="N14" s="1402">
        <v>8210.75</v>
      </c>
      <c r="O14" s="1402">
        <v>5797.01</v>
      </c>
      <c r="P14" s="1402">
        <v>5019.3100000000004</v>
      </c>
      <c r="Q14" s="1402">
        <v>5167.32</v>
      </c>
      <c r="R14" s="1402">
        <v>5209.08</v>
      </c>
      <c r="S14" s="1402">
        <v>8366.42</v>
      </c>
      <c r="T14" s="1402">
        <v>4211.92</v>
      </c>
      <c r="U14" s="1402">
        <v>5502.8700000000008</v>
      </c>
      <c r="V14" s="1402">
        <v>3831.4500000000003</v>
      </c>
      <c r="W14" s="1402">
        <v>4659.57</v>
      </c>
      <c r="X14" s="1402">
        <v>5738.33</v>
      </c>
      <c r="Y14" s="1402">
        <v>4972.8999999999996</v>
      </c>
      <c r="Z14" s="1402">
        <v>6032.39</v>
      </c>
      <c r="AA14" s="1402">
        <v>5624.3600000000006</v>
      </c>
      <c r="AB14" s="1402">
        <v>4345.07</v>
      </c>
      <c r="AC14" s="1402">
        <v>5818.97</v>
      </c>
      <c r="AD14" s="1402">
        <v>5179.3500000000004</v>
      </c>
      <c r="AE14" s="1402">
        <v>5939.5499999999993</v>
      </c>
      <c r="AF14" s="1402">
        <v>4571.1099999999997</v>
      </c>
      <c r="AG14" s="1402">
        <v>5840.1399999999994</v>
      </c>
      <c r="AH14" s="1402">
        <v>4840.71</v>
      </c>
      <c r="AI14" s="1402">
        <v>7590.33</v>
      </c>
      <c r="AJ14" s="1402">
        <v>5451.88</v>
      </c>
      <c r="AK14" s="1402">
        <v>4460.51</v>
      </c>
      <c r="AL14" s="1402">
        <v>5952.26</v>
      </c>
      <c r="AM14" s="1402">
        <v>5455.5499999999993</v>
      </c>
      <c r="AN14" s="1402">
        <v>5371.9800000000005</v>
      </c>
      <c r="AO14" s="1402">
        <v>8213.77</v>
      </c>
      <c r="AP14" s="1402">
        <v>7053.71</v>
      </c>
      <c r="AQ14" s="1402">
        <v>2812.64</v>
      </c>
      <c r="AR14" s="1402">
        <v>6882.57</v>
      </c>
      <c r="AS14" s="1402">
        <v>4245.09</v>
      </c>
      <c r="AT14" s="950">
        <v>2915.42</v>
      </c>
      <c r="AU14" s="950">
        <v>5333.29</v>
      </c>
      <c r="AV14" s="950">
        <v>5555.6500000000005</v>
      </c>
      <c r="AW14" s="950">
        <v>4732.3399999999992</v>
      </c>
      <c r="AX14" s="950">
        <v>5337.67</v>
      </c>
      <c r="AY14" s="950">
        <v>5125.9399999999996</v>
      </c>
      <c r="AZ14" s="950">
        <v>5082.57</v>
      </c>
      <c r="BA14" s="950">
        <v>4427.1400000000003</v>
      </c>
      <c r="BB14" s="950">
        <v>4422.3999999999996</v>
      </c>
      <c r="BC14" s="950">
        <v>6515.7199999999993</v>
      </c>
      <c r="BD14" s="950">
        <v>5071.869999999999</v>
      </c>
      <c r="BE14" s="950">
        <v>4023.09</v>
      </c>
      <c r="BF14" s="950">
        <v>3672.09</v>
      </c>
      <c r="BG14" s="950">
        <v>4513.3100000000004</v>
      </c>
      <c r="BH14" s="950">
        <v>5476.09</v>
      </c>
      <c r="BI14" s="950">
        <v>5045.49</v>
      </c>
    </row>
    <row r="15" spans="1:61">
      <c r="A15" s="3390"/>
      <c r="B15" s="3391"/>
      <c r="C15" s="3392" t="s">
        <v>284</v>
      </c>
      <c r="D15" s="3392"/>
      <c r="E15" s="1402">
        <v>0</v>
      </c>
      <c r="F15" s="1402">
        <v>0</v>
      </c>
      <c r="G15" s="1402">
        <v>978.27</v>
      </c>
      <c r="H15" s="1402">
        <v>120.58</v>
      </c>
      <c r="I15" s="1402">
        <v>862.57999999999993</v>
      </c>
      <c r="J15" s="1402">
        <v>508.96999999999997</v>
      </c>
      <c r="K15" s="1402">
        <v>197.1</v>
      </c>
      <c r="L15" s="1402">
        <v>304.92</v>
      </c>
      <c r="M15" s="1402">
        <v>173.91</v>
      </c>
      <c r="N15" s="1402">
        <v>0</v>
      </c>
      <c r="O15" s="1402">
        <v>0</v>
      </c>
      <c r="P15" s="1402">
        <v>0</v>
      </c>
      <c r="Q15" s="1402">
        <v>0</v>
      </c>
      <c r="R15" s="1402">
        <v>0</v>
      </c>
      <c r="S15" s="1402">
        <v>0</v>
      </c>
      <c r="T15" s="1402">
        <v>352.08</v>
      </c>
      <c r="U15" s="1402">
        <v>230.75</v>
      </c>
      <c r="V15" s="1402">
        <v>159.25</v>
      </c>
      <c r="W15" s="1402">
        <v>0</v>
      </c>
      <c r="X15" s="1402">
        <v>0</v>
      </c>
      <c r="Y15" s="1402">
        <v>0</v>
      </c>
      <c r="Z15" s="1402">
        <v>0</v>
      </c>
      <c r="AA15" s="1402">
        <v>0</v>
      </c>
      <c r="AB15" s="1402">
        <v>0</v>
      </c>
      <c r="AC15" s="1402">
        <v>0</v>
      </c>
      <c r="AD15" s="1402">
        <v>0</v>
      </c>
      <c r="AE15" s="1402">
        <v>0</v>
      </c>
      <c r="AF15" s="1402">
        <v>0</v>
      </c>
      <c r="AG15" s="1402">
        <v>0</v>
      </c>
      <c r="AH15" s="1402">
        <v>0</v>
      </c>
      <c r="AI15" s="1402">
        <v>0</v>
      </c>
      <c r="AJ15" s="1402">
        <v>0</v>
      </c>
      <c r="AK15" s="1402">
        <v>0</v>
      </c>
      <c r="AL15" s="1402">
        <v>0</v>
      </c>
      <c r="AM15" s="1402">
        <v>0</v>
      </c>
      <c r="AN15" s="1402">
        <v>0</v>
      </c>
      <c r="AO15" s="1402">
        <v>0</v>
      </c>
      <c r="AP15" s="1402">
        <v>492.38</v>
      </c>
      <c r="AQ15" s="1402">
        <v>493.36</v>
      </c>
      <c r="AR15" s="1402">
        <v>723.34999999999991</v>
      </c>
      <c r="AS15" s="1402">
        <v>531.87</v>
      </c>
      <c r="AT15" s="950">
        <v>32.18</v>
      </c>
      <c r="AU15" s="950">
        <v>887.27</v>
      </c>
      <c r="AV15" s="950">
        <v>494.75</v>
      </c>
      <c r="AW15" s="950">
        <v>778.54000000000008</v>
      </c>
      <c r="AX15" s="950">
        <v>384.15</v>
      </c>
      <c r="AY15" s="950">
        <v>774.15000000000009</v>
      </c>
      <c r="AZ15" s="950">
        <v>336.38</v>
      </c>
      <c r="BA15" s="950">
        <v>173.55</v>
      </c>
      <c r="BB15" s="950">
        <v>310.04999999999995</v>
      </c>
      <c r="BC15" s="950">
        <v>632.78</v>
      </c>
      <c r="BD15" s="950">
        <v>891.7</v>
      </c>
      <c r="BE15" s="950">
        <v>848.88</v>
      </c>
      <c r="BF15" s="950">
        <v>464.36</v>
      </c>
      <c r="BG15" s="950">
        <v>95.46</v>
      </c>
      <c r="BH15" s="950">
        <v>262.92</v>
      </c>
      <c r="BI15" s="950">
        <v>610.26</v>
      </c>
    </row>
    <row r="16" spans="1:61">
      <c r="A16" s="3388" t="s">
        <v>274</v>
      </c>
      <c r="B16" s="3389"/>
      <c r="C16" s="3392" t="s">
        <v>285</v>
      </c>
      <c r="D16" s="3392"/>
      <c r="E16" s="1402">
        <v>1720.01</v>
      </c>
      <c r="F16" s="1402">
        <v>3007.34</v>
      </c>
      <c r="G16" s="1402">
        <v>2720.55</v>
      </c>
      <c r="H16" s="1402">
        <v>1163.33</v>
      </c>
      <c r="I16" s="1402">
        <v>2581.56</v>
      </c>
      <c r="J16" s="1402">
        <v>1640.3200000000002</v>
      </c>
      <c r="K16" s="1402">
        <v>1223.44</v>
      </c>
      <c r="L16" s="1402">
        <v>3277.6</v>
      </c>
      <c r="M16" s="1402">
        <v>2335.2200000000003</v>
      </c>
      <c r="N16" s="1402">
        <v>1292.08</v>
      </c>
      <c r="O16" s="1402">
        <v>2732.17</v>
      </c>
      <c r="P16" s="1402">
        <v>2036.1999999999998</v>
      </c>
      <c r="Q16" s="1402">
        <v>2628.13</v>
      </c>
      <c r="R16" s="1402">
        <v>2439.84</v>
      </c>
      <c r="S16" s="1402">
        <v>2887.12</v>
      </c>
      <c r="T16" s="1402">
        <v>2056.15</v>
      </c>
      <c r="U16" s="1402">
        <v>2659.13</v>
      </c>
      <c r="V16" s="1402">
        <v>2618.6400000000003</v>
      </c>
      <c r="W16" s="1402">
        <v>2256.73</v>
      </c>
      <c r="X16" s="1402">
        <v>1244.28</v>
      </c>
      <c r="Y16" s="1402">
        <v>2945.29</v>
      </c>
      <c r="Z16" s="1402">
        <v>2152.9</v>
      </c>
      <c r="AA16" s="1402">
        <v>1775.35</v>
      </c>
      <c r="AB16" s="1402">
        <v>1440.78</v>
      </c>
      <c r="AC16" s="1402">
        <v>1792.6599999999999</v>
      </c>
      <c r="AD16" s="1402">
        <v>2413.0300000000002</v>
      </c>
      <c r="AE16" s="1402">
        <v>6569.83</v>
      </c>
      <c r="AF16" s="1402">
        <v>3751.4100000000003</v>
      </c>
      <c r="AG16" s="1402">
        <v>2159.1999999999998</v>
      </c>
      <c r="AH16" s="1402">
        <v>2703.73</v>
      </c>
      <c r="AI16" s="1402">
        <v>5066.8200000000006</v>
      </c>
      <c r="AJ16" s="1402">
        <v>2472.5100000000002</v>
      </c>
      <c r="AK16" s="1402">
        <v>4001.4900000000002</v>
      </c>
      <c r="AL16" s="1402">
        <v>3189.26</v>
      </c>
      <c r="AM16" s="1402">
        <v>3337.37</v>
      </c>
      <c r="AN16" s="1402">
        <v>3042.56</v>
      </c>
      <c r="AO16" s="1402">
        <v>2758.7200000000003</v>
      </c>
      <c r="AP16" s="1402">
        <v>4778.3099999999995</v>
      </c>
      <c r="AQ16" s="1402">
        <v>1905.4119999999998</v>
      </c>
      <c r="AR16" s="1402">
        <v>1636.7199999999998</v>
      </c>
      <c r="AS16" s="1402">
        <v>2006.25</v>
      </c>
      <c r="AT16" s="950">
        <v>1783.11</v>
      </c>
      <c r="AU16" s="950">
        <v>1603.3600000000001</v>
      </c>
      <c r="AV16" s="950">
        <v>2154.16</v>
      </c>
      <c r="AW16" s="950">
        <v>3324.88</v>
      </c>
      <c r="AX16" s="950">
        <v>3500</v>
      </c>
      <c r="AY16" s="950">
        <v>3671.88</v>
      </c>
      <c r="AZ16" s="950">
        <v>3002.2999999999997</v>
      </c>
      <c r="BA16" s="950">
        <v>2075.54</v>
      </c>
      <c r="BB16" s="950">
        <v>1970.6</v>
      </c>
      <c r="BC16" s="950">
        <v>2825.33</v>
      </c>
      <c r="BD16" s="950">
        <v>2967.9</v>
      </c>
      <c r="BE16" s="950">
        <v>2114.69</v>
      </c>
      <c r="BF16" s="950">
        <v>2712.66</v>
      </c>
      <c r="BG16" s="950">
        <v>1571.78</v>
      </c>
      <c r="BH16" s="950">
        <v>1862.6</v>
      </c>
      <c r="BI16" s="950">
        <v>1323.11</v>
      </c>
    </row>
    <row r="17" spans="1:61">
      <c r="A17" s="3390"/>
      <c r="B17" s="3391"/>
      <c r="C17" s="3392" t="s">
        <v>286</v>
      </c>
      <c r="D17" s="3392"/>
      <c r="E17" s="1402">
        <v>405.78999999999996</v>
      </c>
      <c r="F17" s="1402">
        <v>2411.5</v>
      </c>
      <c r="G17" s="1402">
        <v>2737.66</v>
      </c>
      <c r="H17" s="1402">
        <v>708.38</v>
      </c>
      <c r="I17" s="1402">
        <v>1416.69</v>
      </c>
      <c r="J17" s="1402">
        <v>422.02</v>
      </c>
      <c r="K17" s="1402">
        <v>357.09000000000003</v>
      </c>
      <c r="L17" s="1402">
        <v>1921.6299999999999</v>
      </c>
      <c r="M17" s="1402">
        <v>949.13</v>
      </c>
      <c r="N17" s="1402">
        <v>951.06999999999994</v>
      </c>
      <c r="O17" s="1402">
        <v>1361.61</v>
      </c>
      <c r="P17" s="1402">
        <v>1198.1599999999999</v>
      </c>
      <c r="Q17" s="1402">
        <v>257.83</v>
      </c>
      <c r="R17" s="1402">
        <v>497.25</v>
      </c>
      <c r="S17" s="1402">
        <v>1677</v>
      </c>
      <c r="T17" s="1402">
        <v>646.75</v>
      </c>
      <c r="U17" s="1402">
        <v>838.5</v>
      </c>
      <c r="V17" s="1402">
        <v>981.45999999999992</v>
      </c>
      <c r="W17" s="1402">
        <v>984.75</v>
      </c>
      <c r="X17" s="1402">
        <v>433.77000000000004</v>
      </c>
      <c r="Y17" s="1402">
        <v>1166.75</v>
      </c>
      <c r="Z17" s="1402">
        <v>663</v>
      </c>
      <c r="AA17" s="1402">
        <v>526.5</v>
      </c>
      <c r="AB17" s="1402">
        <v>727.89</v>
      </c>
      <c r="AC17" s="1402">
        <v>1024.83</v>
      </c>
      <c r="AD17" s="1402">
        <v>422.5</v>
      </c>
      <c r="AE17" s="1402">
        <v>75.83</v>
      </c>
      <c r="AF17" s="1402">
        <v>86.67</v>
      </c>
      <c r="AG17" s="1402">
        <v>60.67</v>
      </c>
      <c r="AH17" s="1402">
        <v>0</v>
      </c>
      <c r="AI17" s="1402">
        <v>143</v>
      </c>
      <c r="AJ17" s="1402">
        <v>22.43</v>
      </c>
      <c r="AK17" s="1402">
        <v>124.8</v>
      </c>
      <c r="AL17" s="1402">
        <v>46.8</v>
      </c>
      <c r="AM17" s="1402">
        <v>44.85</v>
      </c>
      <c r="AN17" s="1402">
        <v>0</v>
      </c>
      <c r="AO17" s="1402">
        <v>0</v>
      </c>
      <c r="AP17" s="1402">
        <v>0</v>
      </c>
      <c r="AQ17" s="1402">
        <v>0</v>
      </c>
      <c r="AR17" s="1402">
        <v>814.67</v>
      </c>
      <c r="AS17" s="1402">
        <v>0</v>
      </c>
      <c r="AT17" s="950">
        <v>210.6</v>
      </c>
      <c r="AU17" s="950">
        <v>140.4</v>
      </c>
      <c r="AV17" s="950">
        <v>157.95000000000002</v>
      </c>
      <c r="AW17" s="950">
        <v>0</v>
      </c>
      <c r="AX17" s="950">
        <v>253.5</v>
      </c>
      <c r="AY17" s="950">
        <v>109.2</v>
      </c>
      <c r="AZ17" s="950">
        <v>210.6</v>
      </c>
      <c r="BA17" s="950">
        <v>0</v>
      </c>
      <c r="BB17" s="950">
        <v>167.63</v>
      </c>
      <c r="BC17" s="950">
        <v>262.27999999999997</v>
      </c>
      <c r="BD17" s="950">
        <v>35.1</v>
      </c>
      <c r="BE17" s="950">
        <v>304.2</v>
      </c>
      <c r="BF17" s="950">
        <v>462.15</v>
      </c>
      <c r="BG17" s="950">
        <v>175.5</v>
      </c>
      <c r="BH17" s="950">
        <v>10.24</v>
      </c>
      <c r="BI17" s="950">
        <v>0</v>
      </c>
    </row>
    <row r="18" spans="1:61">
      <c r="A18" s="3419" t="s">
        <v>287</v>
      </c>
      <c r="B18" s="3420"/>
      <c r="C18" s="3392" t="s">
        <v>288</v>
      </c>
      <c r="D18" s="3392"/>
      <c r="E18" s="1402">
        <v>532.91999999999996</v>
      </c>
      <c r="F18" s="1402">
        <v>1564.2199999999998</v>
      </c>
      <c r="G18" s="1402">
        <v>807.92</v>
      </c>
      <c r="H18" s="1402">
        <v>255.28</v>
      </c>
      <c r="I18" s="1402">
        <v>787.93</v>
      </c>
      <c r="J18" s="1402">
        <v>0</v>
      </c>
      <c r="K18" s="1402">
        <v>833.23</v>
      </c>
      <c r="L18" s="1402">
        <v>464.78000000000003</v>
      </c>
      <c r="M18" s="1402">
        <v>997.06999999999982</v>
      </c>
      <c r="N18" s="1402">
        <v>464.22999999999996</v>
      </c>
      <c r="O18" s="1402">
        <v>157.63</v>
      </c>
      <c r="P18" s="1402">
        <v>1292.5700000000002</v>
      </c>
      <c r="Q18" s="1402">
        <v>298.45999999999998</v>
      </c>
      <c r="R18" s="1402">
        <v>31.67</v>
      </c>
      <c r="S18" s="1402">
        <v>0</v>
      </c>
      <c r="T18" s="1402">
        <v>118.75</v>
      </c>
      <c r="U18" s="1402">
        <v>138.36000000000001</v>
      </c>
      <c r="V18" s="1402">
        <v>726.27</v>
      </c>
      <c r="W18" s="1402">
        <v>154.58000000000001</v>
      </c>
      <c r="X18" s="1402">
        <v>1563.85</v>
      </c>
      <c r="Y18" s="1402">
        <v>96.61</v>
      </c>
      <c r="Z18" s="1402">
        <v>211.69</v>
      </c>
      <c r="AA18" s="1402">
        <v>0</v>
      </c>
      <c r="AB18" s="1402">
        <v>0</v>
      </c>
      <c r="AC18" s="1402">
        <v>0</v>
      </c>
      <c r="AD18" s="1402">
        <v>19.75</v>
      </c>
      <c r="AE18" s="1402">
        <v>0</v>
      </c>
      <c r="AF18" s="1402">
        <v>0</v>
      </c>
      <c r="AG18" s="1402">
        <v>0</v>
      </c>
      <c r="AH18" s="1402">
        <v>0</v>
      </c>
      <c r="AI18" s="1402">
        <v>60.76</v>
      </c>
      <c r="AJ18" s="1402">
        <v>0</v>
      </c>
      <c r="AK18" s="1402">
        <v>0</v>
      </c>
      <c r="AL18" s="1402">
        <v>0</v>
      </c>
      <c r="AM18" s="1402">
        <v>0</v>
      </c>
      <c r="AN18" s="1402">
        <v>0</v>
      </c>
      <c r="AO18" s="1402">
        <v>0</v>
      </c>
      <c r="AP18" s="1402">
        <v>0</v>
      </c>
      <c r="AQ18" s="1402">
        <v>0</v>
      </c>
      <c r="AR18" s="1402">
        <v>103.29</v>
      </c>
      <c r="AS18" s="1402">
        <v>130.29</v>
      </c>
      <c r="AT18" s="950">
        <v>0</v>
      </c>
      <c r="AU18" s="950">
        <v>0</v>
      </c>
      <c r="AV18" s="950">
        <v>0</v>
      </c>
      <c r="AW18" s="950">
        <v>0</v>
      </c>
      <c r="AX18" s="950">
        <v>0</v>
      </c>
      <c r="AY18" s="950">
        <v>0</v>
      </c>
      <c r="AZ18" s="950">
        <v>176.98000000000002</v>
      </c>
      <c r="BA18" s="950">
        <v>0</v>
      </c>
      <c r="BB18" s="950">
        <v>0</v>
      </c>
      <c r="BC18" s="950">
        <v>0</v>
      </c>
      <c r="BD18" s="950">
        <v>0</v>
      </c>
      <c r="BE18" s="950">
        <v>0</v>
      </c>
      <c r="BF18" s="950">
        <v>0</v>
      </c>
      <c r="BG18" s="950">
        <v>0</v>
      </c>
      <c r="BH18" s="950">
        <v>0</v>
      </c>
      <c r="BI18" s="950">
        <v>1538.18</v>
      </c>
    </row>
    <row r="19" spans="1:61">
      <c r="A19" s="3421"/>
      <c r="B19" s="3422"/>
      <c r="C19" s="3392" t="s">
        <v>289</v>
      </c>
      <c r="D19" s="3392"/>
      <c r="E19" s="1402">
        <v>0</v>
      </c>
      <c r="F19" s="1402">
        <v>0</v>
      </c>
      <c r="G19" s="1402">
        <v>749.09</v>
      </c>
      <c r="H19" s="1402">
        <v>165.03</v>
      </c>
      <c r="I19" s="1402">
        <v>538.16</v>
      </c>
      <c r="J19" s="1402">
        <v>124.56</v>
      </c>
      <c r="K19" s="1402">
        <v>0</v>
      </c>
      <c r="L19" s="1402">
        <v>0</v>
      </c>
      <c r="M19" s="1402">
        <v>468.18</v>
      </c>
      <c r="N19" s="1402">
        <v>306.31</v>
      </c>
      <c r="O19" s="1402">
        <v>0</v>
      </c>
      <c r="P19" s="1402">
        <v>0</v>
      </c>
      <c r="Q19" s="1402">
        <v>0</v>
      </c>
      <c r="R19" s="1402">
        <v>0</v>
      </c>
      <c r="S19" s="1402">
        <v>197.43</v>
      </c>
      <c r="T19" s="1402">
        <v>0</v>
      </c>
      <c r="U19" s="1402">
        <v>0</v>
      </c>
      <c r="V19" s="1402">
        <v>0</v>
      </c>
      <c r="W19" s="1402">
        <v>41.74</v>
      </c>
      <c r="X19" s="1402">
        <v>0</v>
      </c>
      <c r="Y19" s="1402">
        <v>0</v>
      </c>
      <c r="Z19" s="1402">
        <v>0</v>
      </c>
      <c r="AA19" s="1402">
        <v>0</v>
      </c>
      <c r="AB19" s="1402">
        <v>0</v>
      </c>
      <c r="AC19" s="1402">
        <v>0</v>
      </c>
      <c r="AD19" s="1402">
        <v>0</v>
      </c>
      <c r="AE19" s="1402">
        <v>0</v>
      </c>
      <c r="AF19" s="1402">
        <v>0</v>
      </c>
      <c r="AG19" s="1402">
        <v>0</v>
      </c>
      <c r="AH19" s="1402">
        <v>0</v>
      </c>
      <c r="AI19" s="1402">
        <v>0</v>
      </c>
      <c r="AJ19" s="1402">
        <v>0</v>
      </c>
      <c r="AK19" s="1402">
        <v>0</v>
      </c>
      <c r="AL19" s="1402">
        <v>0</v>
      </c>
      <c r="AM19" s="1402">
        <v>0</v>
      </c>
      <c r="AN19" s="1402">
        <v>0</v>
      </c>
      <c r="AO19" s="1402">
        <v>0</v>
      </c>
      <c r="AP19" s="1402">
        <v>0</v>
      </c>
      <c r="AQ19" s="1402">
        <v>0</v>
      </c>
      <c r="AR19" s="1402">
        <v>0</v>
      </c>
      <c r="AS19" s="1402">
        <v>0</v>
      </c>
      <c r="AT19" s="950">
        <v>0</v>
      </c>
      <c r="AU19" s="950">
        <v>0</v>
      </c>
      <c r="AV19" s="950">
        <v>0</v>
      </c>
      <c r="AW19" s="950">
        <v>0</v>
      </c>
      <c r="AX19" s="950">
        <v>0</v>
      </c>
      <c r="AY19" s="950">
        <v>0</v>
      </c>
      <c r="AZ19" s="950">
        <v>0</v>
      </c>
      <c r="BA19" s="950">
        <v>0</v>
      </c>
      <c r="BB19" s="950">
        <v>0</v>
      </c>
      <c r="BC19" s="950">
        <v>0</v>
      </c>
      <c r="BD19" s="950">
        <v>0</v>
      </c>
      <c r="BE19" s="950">
        <v>0</v>
      </c>
      <c r="BF19" s="950">
        <v>0</v>
      </c>
      <c r="BG19" s="950">
        <v>0</v>
      </c>
      <c r="BH19" s="950">
        <v>0</v>
      </c>
      <c r="BI19" s="950">
        <v>0</v>
      </c>
    </row>
    <row r="20" spans="1:61">
      <c r="A20" s="1403"/>
      <c r="B20" s="1403"/>
      <c r="C20" s="3403" t="s">
        <v>290</v>
      </c>
      <c r="D20" s="3403"/>
      <c r="E20" s="661">
        <f>SUM(E14:E19)</f>
        <v>8445.64</v>
      </c>
      <c r="F20" s="661">
        <f t="shared" ref="F20:L20" si="0">SUM(F14:F19)</f>
        <v>13701.789999999999</v>
      </c>
      <c r="G20" s="661">
        <f>SUM(G14:G19)</f>
        <v>10906.58</v>
      </c>
      <c r="H20" s="661">
        <f t="shared" si="0"/>
        <v>5712.87</v>
      </c>
      <c r="I20" s="661">
        <f t="shared" si="0"/>
        <v>12109.650000000001</v>
      </c>
      <c r="J20" s="661">
        <f t="shared" si="0"/>
        <v>7188.2700000000013</v>
      </c>
      <c r="K20" s="661">
        <f t="shared" si="0"/>
        <v>5982.99</v>
      </c>
      <c r="L20" s="661">
        <f t="shared" si="0"/>
        <v>11002.59</v>
      </c>
      <c r="M20" s="661">
        <f>SUM(M14:M19)</f>
        <v>6778.46</v>
      </c>
      <c r="N20" s="661">
        <f t="shared" ref="N20:AB20" si="1">SUM(N14:N19)</f>
        <v>11224.439999999999</v>
      </c>
      <c r="O20" s="661">
        <f t="shared" si="1"/>
        <v>10048.42</v>
      </c>
      <c r="P20" s="661">
        <f t="shared" si="1"/>
        <v>9546.24</v>
      </c>
      <c r="Q20" s="661">
        <f t="shared" si="1"/>
        <v>8351.74</v>
      </c>
      <c r="R20" s="661">
        <f t="shared" si="1"/>
        <v>8177.84</v>
      </c>
      <c r="S20" s="661">
        <f t="shared" si="1"/>
        <v>13127.970000000001</v>
      </c>
      <c r="T20" s="661">
        <f t="shared" si="1"/>
        <v>7385.65</v>
      </c>
      <c r="U20" s="661">
        <f t="shared" si="1"/>
        <v>9369.61</v>
      </c>
      <c r="V20" s="661">
        <f t="shared" si="1"/>
        <v>8317.07</v>
      </c>
      <c r="W20" s="661">
        <f t="shared" si="1"/>
        <v>8097.369999999999</v>
      </c>
      <c r="X20" s="661">
        <f t="shared" si="1"/>
        <v>8980.23</v>
      </c>
      <c r="Y20" s="661">
        <f t="shared" si="1"/>
        <v>9181.5499999999993</v>
      </c>
      <c r="Z20" s="661">
        <f t="shared" si="1"/>
        <v>9059.9800000000014</v>
      </c>
      <c r="AA20" s="661">
        <f t="shared" si="1"/>
        <v>7926.2100000000009</v>
      </c>
      <c r="AB20" s="661">
        <f t="shared" si="1"/>
        <v>6513.74</v>
      </c>
      <c r="AC20" s="661">
        <f>SUM(AC14:AC19)</f>
        <v>8636.4599999999991</v>
      </c>
      <c r="AD20" s="661">
        <f t="shared" ref="AD20:AJ20" si="2">SUM(AD14:AD19)</f>
        <v>8034.630000000001</v>
      </c>
      <c r="AE20" s="661">
        <f t="shared" si="2"/>
        <v>12585.21</v>
      </c>
      <c r="AF20" s="661">
        <f t="shared" si="2"/>
        <v>8409.19</v>
      </c>
      <c r="AG20" s="661">
        <f t="shared" si="2"/>
        <v>8060.0099999999993</v>
      </c>
      <c r="AH20" s="661">
        <f t="shared" si="2"/>
        <v>7544.4400000000005</v>
      </c>
      <c r="AI20" s="661">
        <f t="shared" si="2"/>
        <v>12860.910000000002</v>
      </c>
      <c r="AJ20" s="661">
        <f t="shared" si="2"/>
        <v>7946.8200000000006</v>
      </c>
      <c r="AK20" s="661">
        <f>SUM(AK14:AK19)</f>
        <v>8586.7999999999993</v>
      </c>
      <c r="AL20" s="661">
        <f>SUM(AL14:AL19)</f>
        <v>9188.32</v>
      </c>
      <c r="AM20" s="661">
        <f>SUM(AM14:AM19)</f>
        <v>8837.7699999999986</v>
      </c>
      <c r="AN20" s="661">
        <f t="shared" ref="AN20:AZ20" si="3">SUM(AN14:AN19)</f>
        <v>8414.5400000000009</v>
      </c>
      <c r="AO20" s="661">
        <f t="shared" si="3"/>
        <v>10972.490000000002</v>
      </c>
      <c r="AP20" s="661">
        <f t="shared" si="3"/>
        <v>12324.4</v>
      </c>
      <c r="AQ20" s="661">
        <f t="shared" si="3"/>
        <v>5211.4120000000003</v>
      </c>
      <c r="AR20" s="661">
        <f t="shared" si="3"/>
        <v>10160.6</v>
      </c>
      <c r="AS20" s="661">
        <f t="shared" si="3"/>
        <v>6913.5</v>
      </c>
      <c r="AT20" s="661">
        <f t="shared" si="3"/>
        <v>4941.3100000000004</v>
      </c>
      <c r="AU20" s="661">
        <f t="shared" si="3"/>
        <v>7964.32</v>
      </c>
      <c r="AV20" s="661">
        <f t="shared" si="3"/>
        <v>8362.510000000002</v>
      </c>
      <c r="AW20" s="661">
        <f t="shared" si="3"/>
        <v>8835.7599999999984</v>
      </c>
      <c r="AX20" s="661">
        <f t="shared" si="3"/>
        <v>9475.32</v>
      </c>
      <c r="AY20" s="661">
        <f t="shared" si="3"/>
        <v>9681.1700000000019</v>
      </c>
      <c r="AZ20" s="661">
        <f t="shared" si="3"/>
        <v>8808.83</v>
      </c>
      <c r="BA20" s="661">
        <f t="shared" ref="BA20:BI20" si="4">SUM(BA14:BA19)</f>
        <v>6676.2300000000005</v>
      </c>
      <c r="BB20" s="661">
        <f t="shared" si="4"/>
        <v>6870.6799999999994</v>
      </c>
      <c r="BC20" s="661">
        <f t="shared" si="4"/>
        <v>10236.109999999999</v>
      </c>
      <c r="BD20" s="661">
        <f t="shared" si="4"/>
        <v>8966.57</v>
      </c>
      <c r="BE20" s="661">
        <f t="shared" si="4"/>
        <v>7290.86</v>
      </c>
      <c r="BF20" s="661">
        <f t="shared" si="4"/>
        <v>7311.2599999999993</v>
      </c>
      <c r="BG20" s="661">
        <f t="shared" si="4"/>
        <v>6356.05</v>
      </c>
      <c r="BH20" s="661">
        <f t="shared" si="4"/>
        <v>7611.85</v>
      </c>
      <c r="BI20" s="661">
        <f t="shared" si="4"/>
        <v>8517.0399999999991</v>
      </c>
    </row>
    <row r="21" spans="1:61" s="1406" customFormat="1">
      <c r="A21" s="1404"/>
      <c r="B21" s="1404"/>
      <c r="C21" s="1404"/>
      <c r="D21" s="662"/>
      <c r="E21" s="1405"/>
      <c r="F21" s="1405"/>
      <c r="G21" s="1405"/>
      <c r="H21" s="1405"/>
      <c r="I21" s="1405"/>
      <c r="J21" s="1405"/>
      <c r="K21" s="1405"/>
      <c r="L21" s="1405"/>
    </row>
    <row r="22" spans="1:61">
      <c r="A22" s="2495" t="s">
        <v>291</v>
      </c>
      <c r="B22" s="2495"/>
      <c r="C22" s="2495"/>
      <c r="D22" s="2495"/>
      <c r="E22" s="2495"/>
      <c r="F22" s="2495"/>
      <c r="G22" s="2495"/>
      <c r="H22" s="2495"/>
      <c r="I22" s="2495"/>
      <c r="J22" s="2495"/>
      <c r="K22" s="2495"/>
      <c r="L22" s="2495"/>
      <c r="M22" s="2495"/>
      <c r="N22" s="2495"/>
      <c r="O22" s="2495"/>
      <c r="P22" s="2495"/>
      <c r="Q22" s="2495"/>
      <c r="R22" s="2495"/>
      <c r="S22" s="2495"/>
      <c r="T22" s="2495"/>
      <c r="U22" s="2495"/>
      <c r="V22" s="2495"/>
      <c r="W22" s="2495"/>
      <c r="X22" s="2495"/>
      <c r="Y22" s="2495"/>
      <c r="Z22" s="2495"/>
      <c r="AA22" s="2495"/>
      <c r="AB22" s="2495"/>
      <c r="AC22" s="2495"/>
      <c r="AD22" s="2495"/>
      <c r="AE22" s="2495"/>
      <c r="AF22" s="2495"/>
      <c r="AG22" s="2495"/>
      <c r="AH22" s="2495"/>
      <c r="AI22" s="2495"/>
      <c r="AJ22" s="2495"/>
      <c r="AK22" s="2495"/>
      <c r="AL22" s="2495"/>
      <c r="AM22" s="2495"/>
      <c r="AN22" s="2495"/>
      <c r="AO22" s="2495"/>
      <c r="AP22" s="2495"/>
      <c r="AQ22" s="2495"/>
      <c r="AR22" s="2495"/>
      <c r="AS22" s="2495"/>
      <c r="AT22" s="2495"/>
      <c r="AU22" s="2495"/>
      <c r="AV22" s="2495"/>
      <c r="AW22" s="2495"/>
      <c r="AX22" s="2495"/>
      <c r="AY22" s="2495"/>
      <c r="AZ22" s="2495"/>
      <c r="BA22" s="2495"/>
      <c r="BB22" s="2495"/>
      <c r="BC22" s="2495"/>
      <c r="BD22" s="1765"/>
      <c r="BE22" s="2380"/>
      <c r="BF22" s="2380"/>
      <c r="BG22" s="2380"/>
      <c r="BH22" s="2380"/>
    </row>
    <row r="23" spans="1:61">
      <c r="A23" s="3412" t="s">
        <v>281</v>
      </c>
      <c r="B23" s="3412"/>
      <c r="C23" s="3404" t="s">
        <v>282</v>
      </c>
      <c r="D23" s="3404"/>
      <c r="E23" s="660">
        <v>41640</v>
      </c>
      <c r="F23" s="660">
        <v>41671</v>
      </c>
      <c r="G23" s="660">
        <v>41699</v>
      </c>
      <c r="H23" s="660">
        <v>41730</v>
      </c>
      <c r="I23" s="660">
        <v>41760</v>
      </c>
      <c r="J23" s="660">
        <v>41791</v>
      </c>
      <c r="K23" s="660">
        <v>41821</v>
      </c>
      <c r="L23" s="660">
        <v>41852</v>
      </c>
      <c r="M23" s="660">
        <v>41883</v>
      </c>
      <c r="N23" s="660">
        <v>41913</v>
      </c>
      <c r="O23" s="660">
        <v>41944</v>
      </c>
      <c r="P23" s="660">
        <v>41974</v>
      </c>
      <c r="Q23" s="660">
        <v>42005</v>
      </c>
      <c r="R23" s="660">
        <v>42036</v>
      </c>
      <c r="S23" s="660">
        <v>42064</v>
      </c>
      <c r="T23" s="660">
        <v>42095</v>
      </c>
      <c r="U23" s="660">
        <v>42125</v>
      </c>
      <c r="V23" s="660">
        <v>42156</v>
      </c>
      <c r="W23" s="660">
        <v>42186</v>
      </c>
      <c r="X23" s="660">
        <v>42217</v>
      </c>
      <c r="Y23" s="660">
        <v>42248</v>
      </c>
      <c r="Z23" s="660">
        <v>42278</v>
      </c>
      <c r="AA23" s="660">
        <v>42309</v>
      </c>
      <c r="AB23" s="660">
        <v>42339</v>
      </c>
      <c r="AC23" s="660">
        <v>42370</v>
      </c>
      <c r="AD23" s="660">
        <v>42401</v>
      </c>
      <c r="AE23" s="660">
        <v>42430</v>
      </c>
      <c r="AF23" s="660">
        <v>42461</v>
      </c>
      <c r="AG23" s="660">
        <v>42491</v>
      </c>
      <c r="AH23" s="660">
        <v>42522</v>
      </c>
      <c r="AI23" s="660">
        <v>42552</v>
      </c>
      <c r="AJ23" s="660">
        <v>42583</v>
      </c>
      <c r="AK23" s="660">
        <v>42614</v>
      </c>
      <c r="AL23" s="660">
        <v>42644</v>
      </c>
      <c r="AM23" s="660">
        <v>42675</v>
      </c>
      <c r="AN23" s="660">
        <v>42705</v>
      </c>
      <c r="AO23" s="660">
        <v>42736</v>
      </c>
      <c r="AP23" s="660">
        <v>42767</v>
      </c>
      <c r="AQ23" s="660">
        <v>42795</v>
      </c>
      <c r="AR23" s="660">
        <v>42826</v>
      </c>
      <c r="AS23" s="660">
        <v>42856</v>
      </c>
      <c r="AT23" s="660">
        <v>42887</v>
      </c>
      <c r="AU23" s="660">
        <v>42917</v>
      </c>
      <c r="AV23" s="660">
        <v>42948</v>
      </c>
      <c r="AW23" s="660">
        <v>42979</v>
      </c>
      <c r="AX23" s="660">
        <v>43009</v>
      </c>
      <c r="AY23" s="660">
        <v>43040</v>
      </c>
      <c r="AZ23" s="660">
        <v>43070</v>
      </c>
      <c r="BA23" s="660">
        <v>43101</v>
      </c>
      <c r="BB23" s="660">
        <v>43132</v>
      </c>
      <c r="BC23" s="660">
        <v>43160</v>
      </c>
      <c r="BD23" s="660">
        <v>43191</v>
      </c>
      <c r="BE23" s="660">
        <v>43221</v>
      </c>
      <c r="BF23" s="660">
        <v>43252</v>
      </c>
      <c r="BG23" s="660">
        <v>43282</v>
      </c>
      <c r="BH23" s="660">
        <v>43313</v>
      </c>
      <c r="BI23" s="660">
        <v>43344</v>
      </c>
    </row>
    <row r="24" spans="1:61">
      <c r="A24" s="3388" t="s">
        <v>273</v>
      </c>
      <c r="B24" s="3389"/>
      <c r="C24" s="3392" t="s">
        <v>283</v>
      </c>
      <c r="D24" s="3392"/>
      <c r="E24" s="1402">
        <v>1792.8700000000001</v>
      </c>
      <c r="F24" s="1402">
        <v>1629.74</v>
      </c>
      <c r="G24" s="1402">
        <v>1741.51</v>
      </c>
      <c r="H24" s="1402">
        <v>1643.33</v>
      </c>
      <c r="I24" s="1402">
        <v>1658.44</v>
      </c>
      <c r="J24" s="1402">
        <v>1576.88</v>
      </c>
      <c r="K24" s="1402">
        <v>1549.69</v>
      </c>
      <c r="L24" s="1402">
        <v>1827.6100000000001</v>
      </c>
      <c r="M24" s="1402">
        <v>1572.3500000000001</v>
      </c>
      <c r="N24" s="1402">
        <v>1794.38</v>
      </c>
      <c r="O24" s="1402">
        <v>1841.2</v>
      </c>
      <c r="P24" s="1402">
        <v>1561.77</v>
      </c>
      <c r="Q24" s="1402">
        <v>1919.74</v>
      </c>
      <c r="R24" s="1402">
        <v>1353.33</v>
      </c>
      <c r="S24" s="1402">
        <v>1249.1100000000001</v>
      </c>
      <c r="T24" s="1402">
        <v>1226.46</v>
      </c>
      <c r="U24" s="1402">
        <v>1804.95</v>
      </c>
      <c r="V24" s="1402">
        <v>1318.59</v>
      </c>
      <c r="W24" s="1402">
        <v>2167.4499999999998</v>
      </c>
      <c r="X24" s="1402">
        <v>2022.45</v>
      </c>
      <c r="Y24" s="1402">
        <v>1066.3499999999999</v>
      </c>
      <c r="Z24" s="1402">
        <v>1826.09</v>
      </c>
      <c r="AA24" s="1402">
        <v>1460.57</v>
      </c>
      <c r="AB24" s="1402">
        <v>1418.28</v>
      </c>
      <c r="AC24" s="1402">
        <v>1533.07</v>
      </c>
      <c r="AD24" s="1402">
        <v>1842.71</v>
      </c>
      <c r="AE24" s="1402">
        <v>1670.52</v>
      </c>
      <c r="AF24" s="1402">
        <v>2134.8000000000002</v>
      </c>
      <c r="AG24" s="1402">
        <v>2804.81</v>
      </c>
      <c r="AH24" s="1402">
        <v>1801.94</v>
      </c>
      <c r="AI24" s="1402">
        <v>1786.92</v>
      </c>
      <c r="AJ24" s="1402">
        <v>2367.64</v>
      </c>
      <c r="AK24" s="1402">
        <v>1964.41</v>
      </c>
      <c r="AL24" s="1402">
        <v>2077.2399999999998</v>
      </c>
      <c r="AM24" s="1402">
        <v>3536.24</v>
      </c>
      <c r="AN24" s="1402">
        <v>2432.25</v>
      </c>
      <c r="AO24" s="1402">
        <v>2673.63</v>
      </c>
      <c r="AP24" s="1402">
        <v>3638.91</v>
      </c>
      <c r="AQ24" s="1402">
        <v>2001.02</v>
      </c>
      <c r="AR24" s="1402">
        <v>0</v>
      </c>
      <c r="AS24" s="1402">
        <v>4226.41</v>
      </c>
      <c r="AT24" s="1402">
        <v>1604.05</v>
      </c>
      <c r="AU24" s="950">
        <v>2997.61</v>
      </c>
      <c r="AV24" s="950">
        <v>3060.25</v>
      </c>
      <c r="AW24" s="950">
        <v>1401.1</v>
      </c>
      <c r="AX24" s="950">
        <v>3116.0299999999997</v>
      </c>
      <c r="AY24" s="950">
        <v>4579.49</v>
      </c>
      <c r="AZ24" s="950">
        <v>2750.8799999999997</v>
      </c>
      <c r="BA24" s="950">
        <v>3388.69</v>
      </c>
      <c r="BB24" s="950">
        <v>2697.08</v>
      </c>
      <c r="BC24" s="950">
        <v>2027.1799999999998</v>
      </c>
      <c r="BD24" s="950">
        <v>2760.71</v>
      </c>
      <c r="BE24" s="950">
        <v>3306.77</v>
      </c>
      <c r="BF24" s="950">
        <v>1732.15</v>
      </c>
      <c r="BG24" s="950">
        <v>4167.6899999999996</v>
      </c>
      <c r="BH24" s="950">
        <v>4063.31</v>
      </c>
      <c r="BI24" s="950">
        <v>4585.41</v>
      </c>
    </row>
    <row r="25" spans="1:61">
      <c r="A25" s="3390"/>
      <c r="B25" s="3391"/>
      <c r="C25" s="3392" t="s">
        <v>284</v>
      </c>
      <c r="D25" s="3392"/>
      <c r="E25" s="1402">
        <v>1161.2800000000002</v>
      </c>
      <c r="F25" s="1402">
        <v>430.13</v>
      </c>
      <c r="G25" s="1402">
        <v>1392.4099999999999</v>
      </c>
      <c r="H25" s="1402">
        <v>1761.0900000000001</v>
      </c>
      <c r="I25" s="1402">
        <v>2257.31</v>
      </c>
      <c r="J25" s="1402">
        <v>1056.19</v>
      </c>
      <c r="K25" s="1402">
        <v>1605.74</v>
      </c>
      <c r="L25" s="1402">
        <v>1845.7199999999998</v>
      </c>
      <c r="M25" s="1402">
        <v>1525.74</v>
      </c>
      <c r="N25" s="1402">
        <v>1761.09</v>
      </c>
      <c r="O25" s="1402">
        <v>1806.98</v>
      </c>
      <c r="P25" s="1402">
        <v>2239.9699999999998</v>
      </c>
      <c r="Q25" s="1402">
        <v>2382.3000000000002</v>
      </c>
      <c r="R25" s="1402">
        <v>1120.6100000000001</v>
      </c>
      <c r="S25" s="1402">
        <v>2106.1</v>
      </c>
      <c r="T25" s="1402">
        <v>2077.98</v>
      </c>
      <c r="U25" s="1402">
        <v>2912.93</v>
      </c>
      <c r="V25" s="1402">
        <v>2318.69</v>
      </c>
      <c r="W25" s="1402">
        <v>2052.19</v>
      </c>
      <c r="X25" s="1402">
        <v>1573.27</v>
      </c>
      <c r="Y25" s="1402">
        <v>831.99999999999989</v>
      </c>
      <c r="Z25" s="1402">
        <v>1951.08</v>
      </c>
      <c r="AA25" s="1402">
        <v>1759.33</v>
      </c>
      <c r="AB25" s="1402">
        <v>2050.75</v>
      </c>
      <c r="AC25" s="1402">
        <v>1022.67</v>
      </c>
      <c r="AD25" s="1402">
        <v>508.08</v>
      </c>
      <c r="AE25" s="1402">
        <v>1348.75</v>
      </c>
      <c r="AF25" s="1402">
        <v>0</v>
      </c>
      <c r="AG25" s="1402">
        <v>0</v>
      </c>
      <c r="AH25" s="1402">
        <v>0</v>
      </c>
      <c r="AI25" s="1402">
        <v>0</v>
      </c>
      <c r="AJ25" s="1402">
        <v>0</v>
      </c>
      <c r="AK25" s="1402">
        <v>0</v>
      </c>
      <c r="AL25" s="1402">
        <v>0</v>
      </c>
      <c r="AM25" s="1402">
        <v>0</v>
      </c>
      <c r="AN25" s="1402">
        <v>0</v>
      </c>
      <c r="AO25" s="1402">
        <v>0</v>
      </c>
      <c r="AP25" s="1402">
        <v>0</v>
      </c>
      <c r="AQ25" s="1402">
        <v>108.33</v>
      </c>
      <c r="AR25" s="1402">
        <v>114.83</v>
      </c>
      <c r="AS25" s="1402">
        <v>0</v>
      </c>
      <c r="AT25" s="1402">
        <v>530.4</v>
      </c>
      <c r="AU25" s="950">
        <v>386.09999999999997</v>
      </c>
      <c r="AV25" s="950">
        <v>148.19999999999999</v>
      </c>
      <c r="AW25" s="950">
        <v>180.38</v>
      </c>
      <c r="AX25" s="950">
        <v>335.41</v>
      </c>
      <c r="AY25" s="950">
        <v>492.46000000000004</v>
      </c>
      <c r="AZ25" s="950">
        <v>487.83000000000004</v>
      </c>
      <c r="BA25" s="950">
        <v>29.25</v>
      </c>
      <c r="BB25" s="950">
        <v>248.77</v>
      </c>
      <c r="BC25" s="950">
        <v>0</v>
      </c>
      <c r="BD25" s="950">
        <v>1448.53</v>
      </c>
      <c r="BE25" s="950">
        <v>2275.2399999999998</v>
      </c>
      <c r="BF25" s="950">
        <v>1346.79</v>
      </c>
      <c r="BG25" s="950">
        <v>58.5</v>
      </c>
      <c r="BH25" s="950">
        <v>1370.72</v>
      </c>
      <c r="BI25" s="950">
        <v>0</v>
      </c>
    </row>
    <row r="26" spans="1:61">
      <c r="A26" s="3388" t="s">
        <v>274</v>
      </c>
      <c r="B26" s="3389"/>
      <c r="C26" s="3392" t="s">
        <v>285</v>
      </c>
      <c r="D26" s="3392"/>
      <c r="E26" s="1402">
        <v>1640.31</v>
      </c>
      <c r="F26" s="1402">
        <v>0</v>
      </c>
      <c r="G26" s="1402">
        <v>2693.08</v>
      </c>
      <c r="H26" s="1402">
        <v>395.17999999999995</v>
      </c>
      <c r="I26" s="1402">
        <v>1326.1399999999999</v>
      </c>
      <c r="J26" s="1402">
        <v>1053.1699999999998</v>
      </c>
      <c r="K26" s="1402">
        <v>1079.95</v>
      </c>
      <c r="L26" s="1402">
        <v>1581.41</v>
      </c>
      <c r="M26" s="1402">
        <v>1634.48</v>
      </c>
      <c r="N26" s="1402">
        <v>2358.8000000000002</v>
      </c>
      <c r="O26" s="1402">
        <v>2134.73</v>
      </c>
      <c r="P26" s="1402">
        <v>1019.9000000000001</v>
      </c>
      <c r="Q26" s="1402">
        <v>963.68</v>
      </c>
      <c r="R26" s="1402">
        <v>1908.04</v>
      </c>
      <c r="S26" s="1402">
        <v>963.68</v>
      </c>
      <c r="T26" s="1402">
        <v>1692.63</v>
      </c>
      <c r="U26" s="1402">
        <v>4222.12</v>
      </c>
      <c r="V26" s="1402">
        <v>2683.33</v>
      </c>
      <c r="W26" s="1402">
        <v>2063.2399999999998</v>
      </c>
      <c r="X26" s="1402">
        <v>2111.9299999999998</v>
      </c>
      <c r="Y26" s="1402">
        <v>2492</v>
      </c>
      <c r="Z26" s="1402">
        <v>1873.5700000000002</v>
      </c>
      <c r="AA26" s="1402">
        <v>2000.77</v>
      </c>
      <c r="AB26" s="1402">
        <v>2135.67</v>
      </c>
      <c r="AC26" s="1402">
        <v>2513.25</v>
      </c>
      <c r="AD26" s="1402">
        <v>3139.9</v>
      </c>
      <c r="AE26" s="1402">
        <v>3070.29</v>
      </c>
      <c r="AF26" s="1402">
        <v>3573.48</v>
      </c>
      <c r="AG26" s="1402">
        <v>3046</v>
      </c>
      <c r="AH26" s="1402">
        <v>3266.96</v>
      </c>
      <c r="AI26" s="1402">
        <v>1975.43</v>
      </c>
      <c r="AJ26" s="1402">
        <v>4788.08</v>
      </c>
      <c r="AK26" s="1402">
        <v>5211.34</v>
      </c>
      <c r="AL26" s="1402">
        <v>3774.24</v>
      </c>
      <c r="AM26" s="1402">
        <v>4904.3999999999996</v>
      </c>
      <c r="AN26" s="1402">
        <v>3587.3799999999997</v>
      </c>
      <c r="AO26" s="1402">
        <v>3477.8</v>
      </c>
      <c r="AP26" s="1402">
        <v>5337.3899999999994</v>
      </c>
      <c r="AQ26" s="1402">
        <v>0</v>
      </c>
      <c r="AR26" s="1402">
        <v>6038.07</v>
      </c>
      <c r="AS26" s="1402">
        <v>2981.32</v>
      </c>
      <c r="AT26" s="1402">
        <v>3607.86</v>
      </c>
      <c r="AU26" s="950">
        <v>2372.2799999999997</v>
      </c>
      <c r="AV26" s="950">
        <v>2208.58</v>
      </c>
      <c r="AW26" s="950">
        <v>2349.92</v>
      </c>
      <c r="AX26" s="950">
        <v>4050.05</v>
      </c>
      <c r="AY26" s="950">
        <v>1118.52</v>
      </c>
      <c r="AZ26" s="950">
        <v>5018.84</v>
      </c>
      <c r="BA26" s="950">
        <v>3121.18</v>
      </c>
      <c r="BB26" s="950">
        <v>3721.5499999999997</v>
      </c>
      <c r="BC26" s="950">
        <v>2047.92</v>
      </c>
      <c r="BD26" s="950">
        <v>1467.49</v>
      </c>
      <c r="BE26" s="950">
        <v>3123.21</v>
      </c>
      <c r="BF26" s="950">
        <v>2135.65</v>
      </c>
      <c r="BG26" s="950">
        <v>2799.67</v>
      </c>
      <c r="BH26" s="950">
        <v>1749.06</v>
      </c>
      <c r="BI26" s="950">
        <v>2457.0500000000002</v>
      </c>
    </row>
    <row r="27" spans="1:61">
      <c r="A27" s="3390"/>
      <c r="B27" s="3391"/>
      <c r="C27" s="3392" t="s">
        <v>286</v>
      </c>
      <c r="D27" s="3392"/>
      <c r="E27" s="1402">
        <v>1421.39</v>
      </c>
      <c r="F27" s="1402">
        <v>430.13</v>
      </c>
      <c r="G27" s="1402">
        <v>1522.26</v>
      </c>
      <c r="H27" s="1402">
        <v>505.49</v>
      </c>
      <c r="I27" s="1402">
        <v>844.03</v>
      </c>
      <c r="J27" s="1402">
        <v>1085.55</v>
      </c>
      <c r="K27" s="1402">
        <v>853.3</v>
      </c>
      <c r="L27" s="1402">
        <v>951.45</v>
      </c>
      <c r="M27" s="1402">
        <v>876.9</v>
      </c>
      <c r="N27" s="1402">
        <v>1422.97</v>
      </c>
      <c r="O27" s="1402">
        <v>868.26</v>
      </c>
      <c r="P27" s="1402">
        <v>706.21</v>
      </c>
      <c r="Q27" s="1402">
        <v>0</v>
      </c>
      <c r="R27" s="1402">
        <v>897</v>
      </c>
      <c r="S27" s="1402">
        <v>1027</v>
      </c>
      <c r="T27" s="1402">
        <v>905.04</v>
      </c>
      <c r="U27" s="1402">
        <v>1900.17</v>
      </c>
      <c r="V27" s="1402">
        <v>1318.42</v>
      </c>
      <c r="W27" s="1402">
        <v>1079.8699999999999</v>
      </c>
      <c r="X27" s="1402">
        <v>1153.75</v>
      </c>
      <c r="Y27" s="1402">
        <v>1321.67</v>
      </c>
      <c r="Z27" s="1402">
        <v>719.33</v>
      </c>
      <c r="AA27" s="1402">
        <v>1592.5</v>
      </c>
      <c r="AB27" s="1402">
        <v>881.83</v>
      </c>
      <c r="AC27" s="1402">
        <v>1456</v>
      </c>
      <c r="AD27" s="1402">
        <v>0</v>
      </c>
      <c r="AE27" s="1402">
        <v>0</v>
      </c>
      <c r="AF27" s="1402">
        <v>0</v>
      </c>
      <c r="AG27" s="1402">
        <v>0</v>
      </c>
      <c r="AH27" s="1402">
        <v>0</v>
      </c>
      <c r="AI27" s="1402">
        <v>1846</v>
      </c>
      <c r="AJ27" s="1402">
        <v>0</v>
      </c>
      <c r="AK27" s="1402">
        <v>0</v>
      </c>
      <c r="AL27" s="1402">
        <v>0</v>
      </c>
      <c r="AM27" s="1402">
        <v>0</v>
      </c>
      <c r="AN27" s="1402">
        <v>463.67</v>
      </c>
      <c r="AO27" s="1402">
        <v>1062.75</v>
      </c>
      <c r="AP27" s="1402">
        <v>1963</v>
      </c>
      <c r="AQ27" s="1402">
        <v>0</v>
      </c>
      <c r="AR27" s="1402">
        <v>3132.8999999999996</v>
      </c>
      <c r="AS27" s="1402">
        <v>603.41999999999996</v>
      </c>
      <c r="AT27" s="1402">
        <v>0</v>
      </c>
      <c r="AU27" s="950">
        <v>980.66000000000008</v>
      </c>
      <c r="AV27" s="950">
        <v>901.88000000000011</v>
      </c>
      <c r="AW27" s="950">
        <v>1023.75</v>
      </c>
      <c r="AX27" s="950">
        <v>1107.5999999999999</v>
      </c>
      <c r="AY27" s="950">
        <v>885.3</v>
      </c>
      <c r="AZ27" s="950">
        <v>1244.0999999999999</v>
      </c>
      <c r="BA27" s="950">
        <v>579.15</v>
      </c>
      <c r="BB27" s="950">
        <v>1195.3499999999999</v>
      </c>
      <c r="BC27" s="950">
        <v>495.29999999999995</v>
      </c>
      <c r="BD27" s="950">
        <v>176.48</v>
      </c>
      <c r="BE27" s="950">
        <v>1402.0500000000002</v>
      </c>
      <c r="BF27" s="950">
        <v>1076.7</v>
      </c>
      <c r="BG27" s="950">
        <v>181.35</v>
      </c>
      <c r="BH27" s="950">
        <v>323.7</v>
      </c>
      <c r="BI27" s="950">
        <v>0</v>
      </c>
    </row>
    <row r="28" spans="1:61">
      <c r="A28" s="3419" t="s">
        <v>287</v>
      </c>
      <c r="B28" s="3420"/>
      <c r="C28" s="3392" t="s">
        <v>288</v>
      </c>
      <c r="D28" s="3392"/>
      <c r="E28" s="1402">
        <v>554.15</v>
      </c>
      <c r="F28" s="1402">
        <v>49.9</v>
      </c>
      <c r="G28" s="1402">
        <v>49.25</v>
      </c>
      <c r="H28" s="1402">
        <v>184.42000000000002</v>
      </c>
      <c r="I28" s="1402">
        <v>0</v>
      </c>
      <c r="J28" s="1402">
        <v>148.88999999999999</v>
      </c>
      <c r="K28" s="1402">
        <v>105.33000000000001</v>
      </c>
      <c r="L28" s="1402">
        <v>281.13</v>
      </c>
      <c r="M28" s="1402">
        <v>291.54000000000002</v>
      </c>
      <c r="N28" s="1402">
        <v>0</v>
      </c>
      <c r="O28" s="1402">
        <v>529.72</v>
      </c>
      <c r="P28" s="1402">
        <v>553.35</v>
      </c>
      <c r="Q28" s="1402">
        <v>0</v>
      </c>
      <c r="R28" s="1402">
        <v>48.61</v>
      </c>
      <c r="S28" s="1402">
        <v>1046.4100000000001</v>
      </c>
      <c r="T28" s="1402">
        <v>706.75</v>
      </c>
      <c r="U28" s="1402">
        <v>301.38</v>
      </c>
      <c r="V28" s="1402">
        <v>212.8</v>
      </c>
      <c r="W28" s="1402">
        <v>0</v>
      </c>
      <c r="X28" s="1402">
        <v>268.41000000000003</v>
      </c>
      <c r="Y28" s="1402">
        <v>117.57</v>
      </c>
      <c r="Z28" s="1402">
        <v>0</v>
      </c>
      <c r="AA28" s="1402">
        <v>0</v>
      </c>
      <c r="AB28" s="1402">
        <v>0</v>
      </c>
      <c r="AC28" s="1402">
        <v>83.33</v>
      </c>
      <c r="AD28" s="1402">
        <v>0</v>
      </c>
      <c r="AE28" s="1402">
        <v>0</v>
      </c>
      <c r="AF28" s="1402">
        <v>0</v>
      </c>
      <c r="AG28" s="1402">
        <v>0</v>
      </c>
      <c r="AH28" s="1402">
        <v>0</v>
      </c>
      <c r="AI28" s="1402">
        <v>0</v>
      </c>
      <c r="AJ28" s="1402">
        <v>83.33</v>
      </c>
      <c r="AK28" s="1402">
        <v>0</v>
      </c>
      <c r="AL28" s="1402">
        <v>0</v>
      </c>
      <c r="AM28" s="1402">
        <v>0</v>
      </c>
      <c r="AN28" s="1402">
        <v>0</v>
      </c>
      <c r="AO28" s="1402">
        <v>83.33</v>
      </c>
      <c r="AP28" s="1402">
        <v>0</v>
      </c>
      <c r="AQ28" s="1402">
        <v>0</v>
      </c>
      <c r="AR28" s="1402">
        <v>0</v>
      </c>
      <c r="AS28" s="1402">
        <v>44.62</v>
      </c>
      <c r="AT28" s="1402">
        <v>0</v>
      </c>
      <c r="AU28" s="950">
        <v>0</v>
      </c>
      <c r="AV28" s="950">
        <v>0</v>
      </c>
      <c r="AW28" s="950">
        <v>0</v>
      </c>
      <c r="AX28" s="950">
        <v>0</v>
      </c>
      <c r="AY28" s="950">
        <v>0</v>
      </c>
      <c r="AZ28" s="950">
        <v>0</v>
      </c>
      <c r="BA28" s="950">
        <v>0</v>
      </c>
      <c r="BB28" s="950">
        <v>0</v>
      </c>
      <c r="BC28" s="950">
        <v>0</v>
      </c>
      <c r="BD28" s="950">
        <v>0</v>
      </c>
      <c r="BE28" s="950">
        <v>0</v>
      </c>
      <c r="BF28" s="950">
        <v>0</v>
      </c>
      <c r="BG28" s="950">
        <v>0</v>
      </c>
      <c r="BH28" s="950">
        <v>0</v>
      </c>
      <c r="BI28" s="950">
        <v>113.92</v>
      </c>
    </row>
    <row r="29" spans="1:61">
      <c r="A29" s="3421"/>
      <c r="B29" s="3422"/>
      <c r="C29" s="3392" t="s">
        <v>289</v>
      </c>
      <c r="D29" s="3392"/>
      <c r="E29" s="1402">
        <v>0</v>
      </c>
      <c r="F29" s="1402">
        <v>0</v>
      </c>
      <c r="G29" s="1402">
        <v>0</v>
      </c>
      <c r="H29" s="1402">
        <v>0</v>
      </c>
      <c r="I29" s="1402">
        <v>0</v>
      </c>
      <c r="J29" s="1402">
        <v>0</v>
      </c>
      <c r="K29" s="1402">
        <v>205.4</v>
      </c>
      <c r="L29" s="1402">
        <v>236.12</v>
      </c>
      <c r="M29" s="1402">
        <v>656.18000000000006</v>
      </c>
      <c r="N29" s="1402">
        <v>0</v>
      </c>
      <c r="O29" s="1402">
        <v>1132.28</v>
      </c>
      <c r="P29" s="1402">
        <v>0</v>
      </c>
      <c r="Q29" s="1402">
        <v>0</v>
      </c>
      <c r="R29" s="1402">
        <v>0</v>
      </c>
      <c r="S29" s="1402">
        <v>0</v>
      </c>
      <c r="T29" s="1402">
        <v>0</v>
      </c>
      <c r="U29" s="1402">
        <v>0</v>
      </c>
      <c r="V29" s="1402">
        <v>1503.36</v>
      </c>
      <c r="W29" s="1402">
        <v>510.38</v>
      </c>
      <c r="X29" s="1402">
        <v>471.46999999999997</v>
      </c>
      <c r="Y29" s="1402">
        <v>62.3</v>
      </c>
      <c r="Z29" s="1402">
        <v>0</v>
      </c>
      <c r="AA29" s="1402">
        <v>0</v>
      </c>
      <c r="AB29" s="1402">
        <v>0</v>
      </c>
      <c r="AC29" s="1402">
        <v>0</v>
      </c>
      <c r="AD29" s="1402">
        <v>0</v>
      </c>
      <c r="AE29" s="1402">
        <v>0</v>
      </c>
      <c r="AF29" s="1402">
        <v>0</v>
      </c>
      <c r="AG29" s="1402">
        <v>0</v>
      </c>
      <c r="AH29" s="1402">
        <v>31.14</v>
      </c>
      <c r="AI29" s="1402">
        <v>0</v>
      </c>
      <c r="AJ29" s="1402">
        <v>0</v>
      </c>
      <c r="AK29" s="1402">
        <v>0</v>
      </c>
      <c r="AL29" s="1402">
        <v>0</v>
      </c>
      <c r="AM29" s="1402">
        <v>0</v>
      </c>
      <c r="AN29" s="1402">
        <v>0</v>
      </c>
      <c r="AO29" s="1402">
        <v>0</v>
      </c>
      <c r="AP29" s="1402">
        <v>0</v>
      </c>
      <c r="AQ29" s="1402">
        <v>0</v>
      </c>
      <c r="AR29" s="1402">
        <v>156.75</v>
      </c>
      <c r="AS29" s="1402">
        <v>0</v>
      </c>
      <c r="AT29" s="1402">
        <v>0</v>
      </c>
      <c r="AU29" s="950">
        <v>187.03</v>
      </c>
      <c r="AV29" s="950">
        <v>0</v>
      </c>
      <c r="AW29" s="950">
        <v>0</v>
      </c>
      <c r="AX29" s="950">
        <v>0</v>
      </c>
      <c r="AY29" s="950">
        <v>0</v>
      </c>
      <c r="AZ29" s="950">
        <v>2486.7199999999998</v>
      </c>
      <c r="BA29" s="950">
        <v>0</v>
      </c>
      <c r="BB29" s="950">
        <v>1804.69</v>
      </c>
      <c r="BC29" s="950">
        <v>1237.5</v>
      </c>
      <c r="BD29" s="950">
        <v>0</v>
      </c>
      <c r="BE29" s="950">
        <v>144.28</v>
      </c>
      <c r="BF29" s="950">
        <v>401.65</v>
      </c>
      <c r="BG29" s="950">
        <v>0</v>
      </c>
      <c r="BH29" s="950">
        <v>0</v>
      </c>
      <c r="BI29" s="950">
        <v>0</v>
      </c>
    </row>
    <row r="30" spans="1:61">
      <c r="A30" s="1403"/>
      <c r="B30" s="1403"/>
      <c r="C30" s="3403" t="s">
        <v>290</v>
      </c>
      <c r="D30" s="3403"/>
      <c r="E30" s="663">
        <f t="shared" ref="E30:L30" si="5">SUM(E24:E29)</f>
        <v>6570.0000000000009</v>
      </c>
      <c r="F30" s="663">
        <f t="shared" si="5"/>
        <v>2539.9</v>
      </c>
      <c r="G30" s="663">
        <f t="shared" si="5"/>
        <v>7398.51</v>
      </c>
      <c r="H30" s="663">
        <f t="shared" si="5"/>
        <v>4489.51</v>
      </c>
      <c r="I30" s="663">
        <f t="shared" si="5"/>
        <v>6085.9199999999992</v>
      </c>
      <c r="J30" s="663">
        <f t="shared" si="5"/>
        <v>4920.68</v>
      </c>
      <c r="K30" s="663">
        <f t="shared" si="5"/>
        <v>5399.41</v>
      </c>
      <c r="L30" s="663">
        <f t="shared" si="5"/>
        <v>6723.44</v>
      </c>
      <c r="M30" s="663">
        <f>SUM(M24:M29)</f>
        <v>6557.19</v>
      </c>
      <c r="N30" s="663">
        <f t="shared" ref="N30:AJ30" si="6">SUM(N24:N29)</f>
        <v>7337.2400000000007</v>
      </c>
      <c r="O30" s="663">
        <f t="shared" si="6"/>
        <v>8313.17</v>
      </c>
      <c r="P30" s="663">
        <f t="shared" si="6"/>
        <v>6081.2</v>
      </c>
      <c r="Q30" s="663">
        <f t="shared" si="6"/>
        <v>5265.72</v>
      </c>
      <c r="R30" s="663">
        <f t="shared" si="6"/>
        <v>5327.5899999999992</v>
      </c>
      <c r="S30" s="663">
        <f t="shared" si="6"/>
        <v>6392.3</v>
      </c>
      <c r="T30" s="663">
        <f t="shared" si="6"/>
        <v>6608.86</v>
      </c>
      <c r="U30" s="663">
        <f t="shared" si="6"/>
        <v>11141.55</v>
      </c>
      <c r="V30" s="663">
        <f t="shared" si="6"/>
        <v>9355.19</v>
      </c>
      <c r="W30" s="663">
        <f t="shared" si="6"/>
        <v>7873.1299999999992</v>
      </c>
      <c r="X30" s="663">
        <f t="shared" si="6"/>
        <v>7601.28</v>
      </c>
      <c r="Y30" s="663">
        <f t="shared" si="6"/>
        <v>5891.89</v>
      </c>
      <c r="Z30" s="663">
        <f t="shared" si="6"/>
        <v>6370.07</v>
      </c>
      <c r="AA30" s="663">
        <f t="shared" si="6"/>
        <v>6813.17</v>
      </c>
      <c r="AB30" s="663">
        <f t="shared" si="6"/>
        <v>6486.53</v>
      </c>
      <c r="AC30" s="663">
        <f t="shared" si="6"/>
        <v>6608.32</v>
      </c>
      <c r="AD30" s="663">
        <f t="shared" si="6"/>
        <v>5490.6900000000005</v>
      </c>
      <c r="AE30" s="663">
        <f t="shared" si="6"/>
        <v>6089.5599999999995</v>
      </c>
      <c r="AF30" s="663">
        <f t="shared" si="6"/>
        <v>5708.2800000000007</v>
      </c>
      <c r="AG30" s="663">
        <f t="shared" si="6"/>
        <v>5850.8099999999995</v>
      </c>
      <c r="AH30" s="663">
        <f t="shared" si="6"/>
        <v>5100.04</v>
      </c>
      <c r="AI30" s="663">
        <f t="shared" si="6"/>
        <v>5608.35</v>
      </c>
      <c r="AJ30" s="663">
        <f t="shared" si="6"/>
        <v>7239.0499999999993</v>
      </c>
      <c r="AK30" s="663">
        <f>SUM(AK24:AK29)</f>
        <v>7175.75</v>
      </c>
      <c r="AL30" s="663">
        <f>SUM(AL24:AL29)</f>
        <v>5851.48</v>
      </c>
      <c r="AM30" s="663">
        <f>SUM(AM24:AM29)</f>
        <v>8440.64</v>
      </c>
      <c r="AN30" s="663">
        <f t="shared" ref="AN30:BD30" si="7">SUM(AN24:AN29)</f>
        <v>6483.2999999999993</v>
      </c>
      <c r="AO30" s="663">
        <f t="shared" si="7"/>
        <v>7297.51</v>
      </c>
      <c r="AP30" s="663">
        <f t="shared" si="7"/>
        <v>10939.3</v>
      </c>
      <c r="AQ30" s="663">
        <f t="shared" si="7"/>
        <v>2109.35</v>
      </c>
      <c r="AR30" s="663">
        <f t="shared" si="7"/>
        <v>9442.5499999999993</v>
      </c>
      <c r="AS30" s="663">
        <f t="shared" si="7"/>
        <v>7855.7699999999995</v>
      </c>
      <c r="AT30" s="663">
        <f t="shared" si="7"/>
        <v>5742.3099999999995</v>
      </c>
      <c r="AU30" s="663">
        <f t="shared" si="7"/>
        <v>6923.6799999999994</v>
      </c>
      <c r="AV30" s="663">
        <f t="shared" si="7"/>
        <v>6318.91</v>
      </c>
      <c r="AW30" s="663">
        <f t="shared" si="7"/>
        <v>4955.1499999999996</v>
      </c>
      <c r="AX30" s="663">
        <f t="shared" si="7"/>
        <v>8609.09</v>
      </c>
      <c r="AY30" s="663">
        <f t="shared" si="7"/>
        <v>7075.7699999999995</v>
      </c>
      <c r="AZ30" s="663">
        <f t="shared" si="7"/>
        <v>11988.369999999999</v>
      </c>
      <c r="BA30" s="661">
        <f t="shared" si="7"/>
        <v>7118.2699999999995</v>
      </c>
      <c r="BB30" s="661">
        <f t="shared" si="7"/>
        <v>9667.44</v>
      </c>
      <c r="BC30" s="661">
        <f t="shared" si="7"/>
        <v>5807.9</v>
      </c>
      <c r="BD30" s="661">
        <f t="shared" si="7"/>
        <v>5853.2099999999991</v>
      </c>
      <c r="BE30" s="661">
        <f t="shared" ref="BE30:BI30" si="8">SUM(BE24:BE29)</f>
        <v>10251.550000000001</v>
      </c>
      <c r="BF30" s="661">
        <f t="shared" si="8"/>
        <v>6692.94</v>
      </c>
      <c r="BG30" s="661">
        <f t="shared" si="8"/>
        <v>7207.21</v>
      </c>
      <c r="BH30" s="661">
        <f t="shared" si="8"/>
        <v>7506.79</v>
      </c>
      <c r="BI30" s="661">
        <f t="shared" si="8"/>
        <v>7156.38</v>
      </c>
    </row>
    <row r="31" spans="1:61">
      <c r="E31" s="1407"/>
      <c r="F31" s="1407"/>
      <c r="G31" s="1407"/>
      <c r="H31" s="1407"/>
      <c r="I31" s="1407"/>
      <c r="J31" s="1407"/>
      <c r="K31" s="1407"/>
      <c r="L31" s="1407"/>
      <c r="M31" s="1407"/>
      <c r="N31" s="1407"/>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1407"/>
      <c r="AV31" s="1407"/>
    </row>
    <row r="32" spans="1:61">
      <c r="A32" s="2495" t="s">
        <v>292</v>
      </c>
      <c r="B32" s="2495"/>
      <c r="C32" s="2495"/>
      <c r="D32" s="2495"/>
      <c r="E32" s="2495"/>
      <c r="F32" s="2495"/>
      <c r="G32" s="2495"/>
      <c r="H32" s="2495"/>
      <c r="I32" s="2495"/>
      <c r="J32" s="2495"/>
      <c r="K32" s="2495"/>
      <c r="L32" s="2495"/>
      <c r="M32" s="2495"/>
      <c r="N32" s="2495"/>
      <c r="O32" s="2495"/>
      <c r="P32" s="2495"/>
      <c r="Q32" s="2495"/>
      <c r="R32" s="2495"/>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1765"/>
      <c r="BE32" s="2380"/>
      <c r="BF32" s="2380"/>
      <c r="BG32" s="2380"/>
      <c r="BH32" s="2380"/>
    </row>
    <row r="33" spans="1:61">
      <c r="A33" s="3412" t="s">
        <v>202</v>
      </c>
      <c r="B33" s="3412"/>
      <c r="C33" s="3404" t="s">
        <v>282</v>
      </c>
      <c r="D33" s="3404"/>
      <c r="E33" s="660">
        <v>41640</v>
      </c>
      <c r="F33" s="660">
        <v>41671</v>
      </c>
      <c r="G33" s="660">
        <v>41699</v>
      </c>
      <c r="H33" s="660">
        <v>41730</v>
      </c>
      <c r="I33" s="660">
        <v>41760</v>
      </c>
      <c r="J33" s="660">
        <v>41791</v>
      </c>
      <c r="K33" s="660">
        <v>41821</v>
      </c>
      <c r="L33" s="660">
        <v>41852</v>
      </c>
      <c r="M33" s="660">
        <v>41883</v>
      </c>
      <c r="N33" s="660">
        <v>41913</v>
      </c>
      <c r="O33" s="660">
        <v>41944</v>
      </c>
      <c r="P33" s="660">
        <v>41974</v>
      </c>
      <c r="Q33" s="660">
        <v>42005</v>
      </c>
      <c r="R33" s="660">
        <v>42036</v>
      </c>
      <c r="S33" s="660">
        <v>42064</v>
      </c>
      <c r="T33" s="660">
        <v>42095</v>
      </c>
      <c r="U33" s="660">
        <v>42125</v>
      </c>
      <c r="V33" s="660">
        <v>42156</v>
      </c>
      <c r="W33" s="660">
        <v>42186</v>
      </c>
      <c r="X33" s="660">
        <v>42217</v>
      </c>
      <c r="Y33" s="660">
        <v>42248</v>
      </c>
      <c r="Z33" s="660">
        <v>42278</v>
      </c>
      <c r="AA33" s="660">
        <v>42309</v>
      </c>
      <c r="AB33" s="660">
        <v>42339</v>
      </c>
      <c r="AC33" s="660">
        <v>42370</v>
      </c>
      <c r="AD33" s="660">
        <v>42401</v>
      </c>
      <c r="AE33" s="660">
        <v>42430</v>
      </c>
      <c r="AF33" s="660">
        <v>42461</v>
      </c>
      <c r="AG33" s="660">
        <v>42491</v>
      </c>
      <c r="AH33" s="660">
        <v>42522</v>
      </c>
      <c r="AI33" s="660">
        <v>42552</v>
      </c>
      <c r="AJ33" s="660">
        <v>42583</v>
      </c>
      <c r="AK33" s="660">
        <v>42614</v>
      </c>
      <c r="AL33" s="660">
        <v>42644</v>
      </c>
      <c r="AM33" s="660">
        <v>42675</v>
      </c>
      <c r="AN33" s="660">
        <v>42705</v>
      </c>
      <c r="AO33" s="660">
        <v>42736</v>
      </c>
      <c r="AP33" s="660">
        <v>42767</v>
      </c>
      <c r="AQ33" s="660">
        <v>42795</v>
      </c>
      <c r="AR33" s="660">
        <v>42826</v>
      </c>
      <c r="AS33" s="660">
        <v>42856</v>
      </c>
      <c r="AT33" s="660">
        <v>42887</v>
      </c>
      <c r="AU33" s="660">
        <v>42917</v>
      </c>
      <c r="AV33" s="660">
        <v>42948</v>
      </c>
      <c r="AW33" s="660">
        <v>42979</v>
      </c>
      <c r="AX33" s="660">
        <v>43009</v>
      </c>
      <c r="AY33" s="660">
        <v>43040</v>
      </c>
      <c r="AZ33" s="660">
        <v>43070</v>
      </c>
      <c r="BA33" s="660">
        <v>43101</v>
      </c>
      <c r="BB33" s="660">
        <v>43132</v>
      </c>
      <c r="BC33" s="660">
        <v>43160</v>
      </c>
      <c r="BD33" s="660">
        <v>43191</v>
      </c>
      <c r="BE33" s="660">
        <v>43221</v>
      </c>
      <c r="BF33" s="660">
        <v>43252</v>
      </c>
      <c r="BG33" s="660">
        <v>43282</v>
      </c>
      <c r="BH33" s="660">
        <v>43313</v>
      </c>
      <c r="BI33" s="660">
        <v>43344</v>
      </c>
    </row>
    <row r="34" spans="1:61">
      <c r="A34" s="3388" t="s">
        <v>273</v>
      </c>
      <c r="B34" s="3389"/>
      <c r="C34" s="3392" t="s">
        <v>283</v>
      </c>
      <c r="D34" s="3392"/>
      <c r="E34" s="1402">
        <v>1539.1100000000001</v>
      </c>
      <c r="F34" s="1402">
        <v>1223.44</v>
      </c>
      <c r="G34" s="1402">
        <v>1462.7600000000002</v>
      </c>
      <c r="H34" s="1402">
        <v>1420.2500000000002</v>
      </c>
      <c r="I34" s="1402">
        <v>2122.87</v>
      </c>
      <c r="J34" s="1402">
        <v>1999.74</v>
      </c>
      <c r="K34" s="1402">
        <v>2091.56</v>
      </c>
      <c r="L34" s="1402">
        <v>1797.4</v>
      </c>
      <c r="M34" s="1402">
        <v>1728.6699999999998</v>
      </c>
      <c r="N34" s="1402">
        <v>1979.9399999999998</v>
      </c>
      <c r="O34" s="1402">
        <v>2061.1800000000003</v>
      </c>
      <c r="P34" s="1402">
        <v>2049.94</v>
      </c>
      <c r="Q34" s="1402">
        <v>2243.2399999999998</v>
      </c>
      <c r="R34" s="1402">
        <v>2105.6800000000003</v>
      </c>
      <c r="S34" s="1402">
        <v>2555.0700000000002</v>
      </c>
      <c r="T34" s="1402">
        <v>1835.8899999999999</v>
      </c>
      <c r="U34" s="1402">
        <v>3059.2</v>
      </c>
      <c r="V34" s="1402">
        <v>2017.21</v>
      </c>
      <c r="W34" s="1402">
        <v>1945.0300000000002</v>
      </c>
      <c r="X34" s="1402">
        <v>2945.9100000000003</v>
      </c>
      <c r="Y34" s="1402">
        <v>1897.85</v>
      </c>
      <c r="Z34" s="1402">
        <v>2803.17</v>
      </c>
      <c r="AA34" s="1402">
        <v>2815.49</v>
      </c>
      <c r="AB34" s="1402">
        <v>2146.77</v>
      </c>
      <c r="AC34" s="1402">
        <v>2877.91</v>
      </c>
      <c r="AD34" s="1402">
        <v>3194.75</v>
      </c>
      <c r="AE34" s="1402">
        <v>2876.1800000000003</v>
      </c>
      <c r="AF34" s="1402">
        <v>2264.2399999999998</v>
      </c>
      <c r="AG34" s="1402">
        <v>2643.33</v>
      </c>
      <c r="AH34" s="1402">
        <v>2079.19</v>
      </c>
      <c r="AI34" s="1402">
        <v>2109.69</v>
      </c>
      <c r="AJ34" s="1402">
        <v>1989.36</v>
      </c>
      <c r="AK34" s="1402">
        <v>1767.19</v>
      </c>
      <c r="AL34" s="1408">
        <v>2037.37</v>
      </c>
      <c r="AM34" s="1408">
        <v>2255.6799999999998</v>
      </c>
      <c r="AN34" s="1408">
        <v>2192.16</v>
      </c>
      <c r="AO34" s="1408">
        <v>2631.34</v>
      </c>
      <c r="AP34" s="1408">
        <v>2581.4399999999996</v>
      </c>
      <c r="AQ34" s="1408">
        <v>1966.9379999999996</v>
      </c>
      <c r="AR34" s="1408">
        <v>2520.8399999999997</v>
      </c>
      <c r="AS34" s="1408">
        <v>2111.58</v>
      </c>
      <c r="AT34" s="1402">
        <v>1948.94</v>
      </c>
      <c r="AU34" s="950">
        <v>2144.91</v>
      </c>
      <c r="AV34" s="950">
        <v>1908.13</v>
      </c>
      <c r="AW34" s="950">
        <v>1913.99</v>
      </c>
      <c r="AX34" s="950">
        <v>2218.61</v>
      </c>
      <c r="AY34" s="950">
        <v>3362.77</v>
      </c>
      <c r="AZ34" s="950">
        <v>2276.4899999999998</v>
      </c>
      <c r="BA34" s="950">
        <v>1496.16</v>
      </c>
      <c r="BB34" s="950">
        <v>2913.0299999999997</v>
      </c>
      <c r="BC34" s="950">
        <v>2092.3799999999997</v>
      </c>
      <c r="BD34" s="950">
        <v>1441.3100000000002</v>
      </c>
      <c r="BE34" s="950">
        <v>2209.17</v>
      </c>
      <c r="BF34" s="950">
        <v>2489.7199999999998</v>
      </c>
      <c r="BG34" s="950">
        <v>2805.11</v>
      </c>
      <c r="BH34" s="950">
        <v>2654.08</v>
      </c>
      <c r="BI34" s="950">
        <v>1736.87</v>
      </c>
    </row>
    <row r="35" spans="1:61">
      <c r="A35" s="3390"/>
      <c r="B35" s="3391"/>
      <c r="C35" s="3392" t="s">
        <v>284</v>
      </c>
      <c r="D35" s="3392"/>
      <c r="E35" s="1402">
        <v>230.95000000000002</v>
      </c>
      <c r="F35" s="1402">
        <v>444.08000000000004</v>
      </c>
      <c r="G35" s="1402">
        <v>697.95</v>
      </c>
      <c r="H35" s="1402">
        <v>241.15</v>
      </c>
      <c r="I35" s="1402">
        <v>292.17</v>
      </c>
      <c r="J35" s="1402">
        <v>0</v>
      </c>
      <c r="K35" s="1402">
        <v>562.29999999999995</v>
      </c>
      <c r="L35" s="1402">
        <v>0</v>
      </c>
      <c r="M35" s="1402">
        <v>45.22</v>
      </c>
      <c r="N35" s="1402">
        <v>397.97</v>
      </c>
      <c r="O35" s="1402">
        <v>527.65</v>
      </c>
      <c r="P35" s="1402">
        <v>0</v>
      </c>
      <c r="Q35" s="1402">
        <v>0</v>
      </c>
      <c r="R35" s="1402">
        <v>0</v>
      </c>
      <c r="S35" s="1402">
        <v>0</v>
      </c>
      <c r="T35" s="1402">
        <v>0</v>
      </c>
      <c r="U35" s="1402">
        <v>0</v>
      </c>
      <c r="V35" s="1402">
        <v>0</v>
      </c>
      <c r="W35" s="1402">
        <v>0</v>
      </c>
      <c r="X35" s="1402">
        <v>0</v>
      </c>
      <c r="Y35" s="1402">
        <v>0</v>
      </c>
      <c r="Z35" s="1402">
        <v>0</v>
      </c>
      <c r="AA35" s="1402">
        <v>0</v>
      </c>
      <c r="AB35" s="1402">
        <v>0</v>
      </c>
      <c r="AC35" s="1402">
        <v>0</v>
      </c>
      <c r="AD35" s="1402">
        <v>291.42</v>
      </c>
      <c r="AE35" s="1402">
        <v>0</v>
      </c>
      <c r="AF35" s="1402">
        <v>0</v>
      </c>
      <c r="AG35" s="1402">
        <v>0</v>
      </c>
      <c r="AH35" s="1402">
        <v>0</v>
      </c>
      <c r="AI35" s="1402">
        <v>0</v>
      </c>
      <c r="AJ35" s="1402">
        <v>0</v>
      </c>
      <c r="AK35" s="1402">
        <v>0</v>
      </c>
      <c r="AL35" s="1408">
        <v>0</v>
      </c>
      <c r="AM35" s="1408">
        <v>0</v>
      </c>
      <c r="AN35" s="1408">
        <v>0</v>
      </c>
      <c r="AO35" s="1408">
        <v>0</v>
      </c>
      <c r="AP35" s="1408">
        <v>0</v>
      </c>
      <c r="AQ35" s="1408">
        <v>0</v>
      </c>
      <c r="AR35" s="1408">
        <v>0</v>
      </c>
      <c r="AS35" s="1408">
        <v>0</v>
      </c>
      <c r="AT35" s="1402">
        <v>0</v>
      </c>
      <c r="AU35" s="950">
        <v>0</v>
      </c>
      <c r="AV35" s="950">
        <v>0</v>
      </c>
      <c r="AW35" s="950">
        <v>0</v>
      </c>
      <c r="AX35" s="950">
        <v>0</v>
      </c>
      <c r="AY35" s="950">
        <v>0</v>
      </c>
      <c r="AZ35" s="950">
        <v>0</v>
      </c>
      <c r="BA35" s="950">
        <v>0</v>
      </c>
      <c r="BB35" s="950">
        <v>0</v>
      </c>
      <c r="BC35" s="950">
        <v>0</v>
      </c>
      <c r="BD35" s="950">
        <v>0</v>
      </c>
      <c r="BE35" s="950">
        <v>0</v>
      </c>
      <c r="BF35" s="950">
        <v>0</v>
      </c>
      <c r="BG35" s="950">
        <v>0</v>
      </c>
      <c r="BH35" s="950">
        <v>0</v>
      </c>
      <c r="BI35" s="950">
        <v>0</v>
      </c>
    </row>
    <row r="36" spans="1:61">
      <c r="A36" s="3388" t="s">
        <v>274</v>
      </c>
      <c r="B36" s="3389"/>
      <c r="C36" s="3392" t="s">
        <v>285</v>
      </c>
      <c r="D36" s="3392"/>
      <c r="E36" s="1402">
        <v>0</v>
      </c>
      <c r="F36" s="1402">
        <v>454.63</v>
      </c>
      <c r="G36" s="1402">
        <v>128.38999999999999</v>
      </c>
      <c r="H36" s="1402">
        <v>0</v>
      </c>
      <c r="I36" s="1402">
        <v>0</v>
      </c>
      <c r="J36" s="1402">
        <v>0</v>
      </c>
      <c r="K36" s="1402">
        <v>471.26</v>
      </c>
      <c r="L36" s="1402">
        <v>507.5</v>
      </c>
      <c r="M36" s="1402">
        <v>0</v>
      </c>
      <c r="N36" s="1402">
        <v>163.13</v>
      </c>
      <c r="O36" s="1402">
        <v>513.54</v>
      </c>
      <c r="P36" s="1402">
        <v>132.91999999999999</v>
      </c>
      <c r="Q36" s="1402">
        <v>0</v>
      </c>
      <c r="R36" s="1402">
        <v>0</v>
      </c>
      <c r="S36" s="1402">
        <v>555.83000000000004</v>
      </c>
      <c r="T36" s="1402">
        <v>323.23</v>
      </c>
      <c r="U36" s="1402">
        <v>851.88</v>
      </c>
      <c r="V36" s="1402">
        <v>290</v>
      </c>
      <c r="W36" s="1402">
        <v>670.63</v>
      </c>
      <c r="X36" s="1402">
        <v>314.17</v>
      </c>
      <c r="Y36" s="1402">
        <v>350.42</v>
      </c>
      <c r="Z36" s="1402">
        <v>483.33</v>
      </c>
      <c r="AA36" s="1402">
        <v>444.06</v>
      </c>
      <c r="AB36" s="1402">
        <v>525.63</v>
      </c>
      <c r="AC36" s="1402">
        <v>374.58</v>
      </c>
      <c r="AD36" s="1402">
        <v>641.92999999999995</v>
      </c>
      <c r="AE36" s="1402">
        <v>887.54000000000008</v>
      </c>
      <c r="AF36" s="1402">
        <v>976.01</v>
      </c>
      <c r="AG36" s="1402">
        <v>893.08</v>
      </c>
      <c r="AH36" s="1402">
        <v>391.63</v>
      </c>
      <c r="AI36" s="1402">
        <v>820.83999999999992</v>
      </c>
      <c r="AJ36" s="1402">
        <v>622.47</v>
      </c>
      <c r="AK36" s="1402">
        <v>434.16999999999996</v>
      </c>
      <c r="AL36" s="1408">
        <v>658.75</v>
      </c>
      <c r="AM36" s="1408">
        <v>618.82999999999993</v>
      </c>
      <c r="AN36" s="1408">
        <v>557.75</v>
      </c>
      <c r="AO36" s="1408">
        <v>862.28</v>
      </c>
      <c r="AP36" s="1408">
        <v>965.63</v>
      </c>
      <c r="AQ36" s="1408">
        <v>756.25</v>
      </c>
      <c r="AR36" s="1408">
        <v>216.67</v>
      </c>
      <c r="AS36" s="1408">
        <v>314.64999999999998</v>
      </c>
      <c r="AT36" s="1402">
        <v>914.81999999999994</v>
      </c>
      <c r="AU36" s="950">
        <v>557.16000000000008</v>
      </c>
      <c r="AV36" s="950">
        <v>877.65</v>
      </c>
      <c r="AW36" s="950">
        <v>588.37</v>
      </c>
      <c r="AX36" s="950">
        <v>550.19999999999993</v>
      </c>
      <c r="AY36" s="950">
        <v>713.93000000000006</v>
      </c>
      <c r="AZ36" s="950">
        <v>721.40000000000009</v>
      </c>
      <c r="BA36" s="950">
        <v>255.67</v>
      </c>
      <c r="BB36" s="950">
        <v>710.72</v>
      </c>
      <c r="BC36" s="950">
        <v>593.53</v>
      </c>
      <c r="BD36" s="950">
        <v>645.03</v>
      </c>
      <c r="BE36" s="950">
        <v>723.69999999999993</v>
      </c>
      <c r="BF36" s="950">
        <v>703.24</v>
      </c>
      <c r="BG36" s="950">
        <v>733.14</v>
      </c>
      <c r="BH36" s="950">
        <v>732.35</v>
      </c>
      <c r="BI36" s="950">
        <v>755.16</v>
      </c>
    </row>
    <row r="37" spans="1:61">
      <c r="A37" s="3390"/>
      <c r="B37" s="3391"/>
      <c r="C37" s="3392" t="s">
        <v>286</v>
      </c>
      <c r="D37" s="3392"/>
      <c r="E37" s="1402">
        <v>0</v>
      </c>
      <c r="F37" s="1402">
        <v>0</v>
      </c>
      <c r="G37" s="1402">
        <v>0</v>
      </c>
      <c r="H37" s="1402">
        <v>0</v>
      </c>
      <c r="I37" s="1402">
        <v>0</v>
      </c>
      <c r="J37" s="1402">
        <v>0</v>
      </c>
      <c r="K37" s="1402">
        <v>321</v>
      </c>
      <c r="L37" s="1402">
        <v>424.3</v>
      </c>
      <c r="M37" s="1402">
        <v>0</v>
      </c>
      <c r="N37" s="1402">
        <v>0</v>
      </c>
      <c r="O37" s="1402">
        <v>0</v>
      </c>
      <c r="P37" s="1402">
        <v>0</v>
      </c>
      <c r="Q37" s="1402">
        <v>0</v>
      </c>
      <c r="R37" s="1402">
        <v>0</v>
      </c>
      <c r="S37" s="1402">
        <v>248.07999999999998</v>
      </c>
      <c r="T37" s="1402">
        <v>231.83</v>
      </c>
      <c r="U37" s="1402">
        <v>515.66999999999996</v>
      </c>
      <c r="V37" s="1402">
        <v>151.66999999999999</v>
      </c>
      <c r="W37" s="1402">
        <v>294.67</v>
      </c>
      <c r="X37" s="1402">
        <v>225.33</v>
      </c>
      <c r="Y37" s="1402">
        <v>255.67</v>
      </c>
      <c r="Z37" s="1402">
        <v>309.83</v>
      </c>
      <c r="AA37" s="1402">
        <v>318.5</v>
      </c>
      <c r="AB37" s="1402">
        <v>307.67</v>
      </c>
      <c r="AC37" s="1402">
        <v>0</v>
      </c>
      <c r="AD37" s="1402">
        <v>0</v>
      </c>
      <c r="AE37" s="1402">
        <v>151.66999999999999</v>
      </c>
      <c r="AF37" s="1402">
        <v>225.33</v>
      </c>
      <c r="AG37" s="1402">
        <v>156</v>
      </c>
      <c r="AH37" s="1402">
        <v>221</v>
      </c>
      <c r="AI37" s="1402">
        <v>145.16999999999999</v>
      </c>
      <c r="AJ37" s="1402">
        <v>244.83</v>
      </c>
      <c r="AK37" s="1402">
        <v>0</v>
      </c>
      <c r="AL37" s="1408">
        <v>260</v>
      </c>
      <c r="AM37" s="1408">
        <v>294.67</v>
      </c>
      <c r="AN37" s="1408">
        <v>277.33</v>
      </c>
      <c r="AO37" s="1408">
        <v>0</v>
      </c>
      <c r="AP37" s="1408">
        <v>0</v>
      </c>
      <c r="AQ37" s="1408">
        <v>0</v>
      </c>
      <c r="AR37" s="1408">
        <v>390</v>
      </c>
      <c r="AS37" s="1408">
        <v>354.9</v>
      </c>
      <c r="AT37" s="1402">
        <v>249.6</v>
      </c>
      <c r="AU37" s="950">
        <v>259.35000000000002</v>
      </c>
      <c r="AV37" s="950">
        <v>456.3</v>
      </c>
      <c r="AW37" s="950">
        <v>179.4</v>
      </c>
      <c r="AX37" s="950">
        <v>195</v>
      </c>
      <c r="AY37" s="950">
        <v>298.34999999999997</v>
      </c>
      <c r="AZ37" s="950">
        <v>267.15000000000003</v>
      </c>
      <c r="BA37" s="950">
        <v>436.79999999999995</v>
      </c>
      <c r="BB37" s="950">
        <v>510.9</v>
      </c>
      <c r="BC37" s="950">
        <v>269.09999999999997</v>
      </c>
      <c r="BD37" s="950">
        <v>237.9</v>
      </c>
      <c r="BE37" s="950">
        <v>390</v>
      </c>
      <c r="BF37" s="950">
        <v>294.27999999999997</v>
      </c>
      <c r="BG37" s="950">
        <v>311.82</v>
      </c>
      <c r="BH37" s="950">
        <v>271.64999999999998</v>
      </c>
      <c r="BI37" s="950">
        <v>338.51</v>
      </c>
    </row>
    <row r="38" spans="1:61">
      <c r="A38" s="3419" t="s">
        <v>287</v>
      </c>
      <c r="B38" s="3420"/>
      <c r="C38" s="3392" t="s">
        <v>288</v>
      </c>
      <c r="D38" s="3392"/>
      <c r="E38" s="1402">
        <v>0</v>
      </c>
      <c r="F38" s="1402">
        <v>0</v>
      </c>
      <c r="G38" s="1402">
        <v>0</v>
      </c>
      <c r="H38" s="1402">
        <v>0</v>
      </c>
      <c r="I38" s="1402">
        <v>0</v>
      </c>
      <c r="J38" s="1402">
        <v>0</v>
      </c>
      <c r="K38" s="1402">
        <v>0</v>
      </c>
      <c r="L38" s="1402">
        <v>0</v>
      </c>
      <c r="M38" s="1402">
        <v>0</v>
      </c>
      <c r="N38" s="1402">
        <v>0</v>
      </c>
      <c r="O38" s="1402">
        <v>0</v>
      </c>
      <c r="P38" s="1402">
        <v>0</v>
      </c>
      <c r="Q38" s="1402">
        <v>0</v>
      </c>
      <c r="R38" s="1402">
        <v>0</v>
      </c>
      <c r="S38" s="1402">
        <v>0</v>
      </c>
      <c r="T38" s="1402">
        <v>312.48</v>
      </c>
      <c r="U38" s="1402">
        <v>0</v>
      </c>
      <c r="V38" s="1402">
        <v>303.8</v>
      </c>
      <c r="W38" s="1402">
        <v>338.52</v>
      </c>
      <c r="X38" s="1402">
        <v>312.48</v>
      </c>
      <c r="Y38" s="1402">
        <v>338.52000000000004</v>
      </c>
      <c r="Z38" s="1402">
        <v>308.14</v>
      </c>
      <c r="AA38" s="1402">
        <v>381.92</v>
      </c>
      <c r="AB38" s="1402">
        <v>303.8</v>
      </c>
      <c r="AC38" s="1402">
        <v>277.76</v>
      </c>
      <c r="AD38" s="1402">
        <v>557.69000000000005</v>
      </c>
      <c r="AE38" s="1402">
        <v>338.52000000000004</v>
      </c>
      <c r="AF38" s="1402">
        <v>0</v>
      </c>
      <c r="AG38" s="1402">
        <v>364.56</v>
      </c>
      <c r="AH38" s="1402">
        <v>442.68</v>
      </c>
      <c r="AI38" s="1402">
        <v>290.77999999999997</v>
      </c>
      <c r="AJ38" s="1402">
        <v>533.82000000000005</v>
      </c>
      <c r="AK38" s="1402">
        <v>434</v>
      </c>
      <c r="AL38" s="1408">
        <v>520.79999999999995</v>
      </c>
      <c r="AM38" s="1408">
        <v>434</v>
      </c>
      <c r="AN38" s="1408">
        <v>512.99</v>
      </c>
      <c r="AO38" s="1408">
        <v>542.5</v>
      </c>
      <c r="AP38" s="1408">
        <v>585.9</v>
      </c>
      <c r="AQ38" s="1408">
        <v>542.5</v>
      </c>
      <c r="AR38" s="1408">
        <v>542.5</v>
      </c>
      <c r="AS38" s="1408">
        <v>954.8</v>
      </c>
      <c r="AT38" s="1402">
        <v>672.7</v>
      </c>
      <c r="AU38" s="950">
        <v>585.9</v>
      </c>
      <c r="AV38" s="950">
        <v>889.7</v>
      </c>
      <c r="AW38" s="950">
        <v>575.04999999999995</v>
      </c>
      <c r="AX38" s="950">
        <v>542.5</v>
      </c>
      <c r="AY38" s="950">
        <v>542.5</v>
      </c>
      <c r="AZ38" s="950">
        <v>694.4</v>
      </c>
      <c r="BA38" s="950">
        <v>640.15</v>
      </c>
      <c r="BB38" s="950">
        <v>629.29999999999995</v>
      </c>
      <c r="BC38" s="950">
        <v>542.5</v>
      </c>
      <c r="BD38" s="950">
        <v>542.5</v>
      </c>
      <c r="BE38" s="950">
        <v>613.03000000000009</v>
      </c>
      <c r="BF38" s="950">
        <v>542.47</v>
      </c>
      <c r="BG38" s="950">
        <v>565.07000000000005</v>
      </c>
      <c r="BH38" s="950">
        <v>1077.7</v>
      </c>
      <c r="BI38" s="950">
        <v>0</v>
      </c>
    </row>
    <row r="39" spans="1:61">
      <c r="A39" s="3421"/>
      <c r="B39" s="3422"/>
      <c r="C39" s="3392" t="s">
        <v>289</v>
      </c>
      <c r="D39" s="3392"/>
      <c r="E39" s="1402">
        <v>0</v>
      </c>
      <c r="F39" s="1402">
        <v>0</v>
      </c>
      <c r="G39" s="1402">
        <v>0</v>
      </c>
      <c r="H39" s="1402">
        <v>0</v>
      </c>
      <c r="I39" s="1402">
        <v>0</v>
      </c>
      <c r="J39" s="1402">
        <v>0</v>
      </c>
      <c r="K39" s="1402">
        <v>0</v>
      </c>
      <c r="L39" s="1402">
        <v>0</v>
      </c>
      <c r="M39" s="1402">
        <v>0</v>
      </c>
      <c r="N39" s="1402">
        <v>0</v>
      </c>
      <c r="O39" s="1402">
        <v>0</v>
      </c>
      <c r="P39" s="1402">
        <v>0</v>
      </c>
      <c r="Q39" s="1402">
        <v>0</v>
      </c>
      <c r="R39" s="1402">
        <v>0</v>
      </c>
      <c r="S39" s="1402">
        <v>0</v>
      </c>
      <c r="T39" s="1402">
        <v>0</v>
      </c>
      <c r="U39" s="1402">
        <v>0</v>
      </c>
      <c r="V39" s="1402">
        <v>0</v>
      </c>
      <c r="W39" s="1402">
        <v>0</v>
      </c>
      <c r="X39" s="1402">
        <v>0</v>
      </c>
      <c r="Y39" s="1402">
        <v>0</v>
      </c>
      <c r="Z39" s="1402">
        <v>0</v>
      </c>
      <c r="AA39" s="1402">
        <v>71.09</v>
      </c>
      <c r="AB39" s="1402">
        <v>0</v>
      </c>
      <c r="AC39" s="1402">
        <v>0</v>
      </c>
      <c r="AD39" s="1402">
        <v>0</v>
      </c>
      <c r="AE39" s="1402">
        <v>0</v>
      </c>
      <c r="AF39" s="1402">
        <v>0</v>
      </c>
      <c r="AG39" s="1402">
        <v>0</v>
      </c>
      <c r="AH39" s="1402">
        <v>0</v>
      </c>
      <c r="AI39" s="1402">
        <v>0</v>
      </c>
      <c r="AJ39" s="1402">
        <v>0</v>
      </c>
      <c r="AK39" s="1402">
        <v>0</v>
      </c>
      <c r="AL39" s="1408">
        <v>0</v>
      </c>
      <c r="AM39" s="1408">
        <v>0</v>
      </c>
      <c r="AN39" s="1408">
        <v>0</v>
      </c>
      <c r="AO39" s="1408">
        <v>0</v>
      </c>
      <c r="AP39" s="1408">
        <v>0</v>
      </c>
      <c r="AQ39" s="1408">
        <v>0</v>
      </c>
      <c r="AR39" s="1408">
        <v>0</v>
      </c>
      <c r="AS39" s="1408">
        <v>0</v>
      </c>
      <c r="AT39" s="1402">
        <v>0</v>
      </c>
      <c r="AU39" s="950">
        <v>0</v>
      </c>
      <c r="AV39" s="950">
        <v>0</v>
      </c>
      <c r="AW39" s="950">
        <v>0</v>
      </c>
      <c r="AX39" s="950">
        <v>0</v>
      </c>
      <c r="AY39" s="950">
        <v>0</v>
      </c>
      <c r="AZ39" s="950">
        <v>0</v>
      </c>
      <c r="BA39" s="950">
        <v>0</v>
      </c>
      <c r="BB39" s="950">
        <v>0</v>
      </c>
      <c r="BC39" s="950">
        <v>0</v>
      </c>
      <c r="BD39" s="950">
        <v>0</v>
      </c>
      <c r="BE39" s="950">
        <v>0</v>
      </c>
      <c r="BF39" s="950">
        <v>0</v>
      </c>
      <c r="BG39" s="950">
        <v>0</v>
      </c>
      <c r="BH39" s="950">
        <v>0</v>
      </c>
      <c r="BI39" s="950">
        <v>923.09</v>
      </c>
    </row>
    <row r="40" spans="1:61">
      <c r="C40" s="3403" t="s">
        <v>290</v>
      </c>
      <c r="D40" s="3403"/>
      <c r="E40" s="663">
        <f t="shared" ref="E40:L40" si="9">SUM(E34:E39)</f>
        <v>1770.0600000000002</v>
      </c>
      <c r="F40" s="663">
        <f t="shared" si="9"/>
        <v>2122.15</v>
      </c>
      <c r="G40" s="663">
        <f t="shared" si="9"/>
        <v>2289.1</v>
      </c>
      <c r="H40" s="663">
        <f t="shared" si="9"/>
        <v>1661.4000000000003</v>
      </c>
      <c r="I40" s="663">
        <f t="shared" si="9"/>
        <v>2415.04</v>
      </c>
      <c r="J40" s="663">
        <f t="shared" si="9"/>
        <v>1999.74</v>
      </c>
      <c r="K40" s="663">
        <f t="shared" si="9"/>
        <v>3446.12</v>
      </c>
      <c r="L40" s="663">
        <f t="shared" si="9"/>
        <v>2729.2000000000003</v>
      </c>
      <c r="M40" s="663">
        <f t="shared" ref="M40:R40" si="10">SUM(M34:M39)</f>
        <v>1773.8899999999999</v>
      </c>
      <c r="N40" s="663">
        <f t="shared" si="10"/>
        <v>2541.04</v>
      </c>
      <c r="O40" s="663">
        <f t="shared" si="10"/>
        <v>3102.3700000000003</v>
      </c>
      <c r="P40" s="663">
        <f t="shared" si="10"/>
        <v>2182.86</v>
      </c>
      <c r="Q40" s="663">
        <f t="shared" si="10"/>
        <v>2243.2399999999998</v>
      </c>
      <c r="R40" s="663">
        <f t="shared" si="10"/>
        <v>2105.6800000000003</v>
      </c>
      <c r="S40" s="663">
        <f t="shared" ref="S40:AJ40" si="11">SUM(S34:S39)</f>
        <v>3358.98</v>
      </c>
      <c r="T40" s="663">
        <f t="shared" si="11"/>
        <v>2703.43</v>
      </c>
      <c r="U40" s="663">
        <f t="shared" si="11"/>
        <v>4426.75</v>
      </c>
      <c r="V40" s="663">
        <f t="shared" si="11"/>
        <v>2762.6800000000003</v>
      </c>
      <c r="W40" s="663">
        <f t="shared" si="11"/>
        <v>3248.8500000000004</v>
      </c>
      <c r="X40" s="663">
        <f t="shared" si="11"/>
        <v>3797.8900000000003</v>
      </c>
      <c r="Y40" s="663">
        <f t="shared" si="11"/>
        <v>2842.46</v>
      </c>
      <c r="Z40" s="663">
        <f t="shared" si="11"/>
        <v>3904.47</v>
      </c>
      <c r="AA40" s="663">
        <f t="shared" si="11"/>
        <v>4031.06</v>
      </c>
      <c r="AB40" s="663">
        <f t="shared" si="11"/>
        <v>3283.8700000000003</v>
      </c>
      <c r="AC40" s="663">
        <f t="shared" si="11"/>
        <v>3530.25</v>
      </c>
      <c r="AD40" s="663">
        <f t="shared" si="11"/>
        <v>4685.7900000000009</v>
      </c>
      <c r="AE40" s="663">
        <f t="shared" si="11"/>
        <v>4253.9100000000008</v>
      </c>
      <c r="AF40" s="663">
        <f t="shared" si="11"/>
        <v>3465.58</v>
      </c>
      <c r="AG40" s="663">
        <f t="shared" si="11"/>
        <v>4056.97</v>
      </c>
      <c r="AH40" s="663">
        <f t="shared" si="11"/>
        <v>3134.5</v>
      </c>
      <c r="AI40" s="663">
        <f t="shared" si="11"/>
        <v>3366.4799999999996</v>
      </c>
      <c r="AJ40" s="663">
        <f t="shared" si="11"/>
        <v>3390.48</v>
      </c>
      <c r="AK40" s="663">
        <f>SUM(AK34:AK39)</f>
        <v>2635.36</v>
      </c>
      <c r="AL40" s="663">
        <f>SUM(AL34:AL39)</f>
        <v>3476.92</v>
      </c>
      <c r="AM40" s="663">
        <f>SUM(AM34:AM39)</f>
        <v>3603.18</v>
      </c>
      <c r="AN40" s="663">
        <f t="shared" ref="AN40:BD40" si="12">SUM(AN34:AN39)</f>
        <v>3540.2299999999996</v>
      </c>
      <c r="AO40" s="663">
        <f t="shared" si="12"/>
        <v>4036.12</v>
      </c>
      <c r="AP40" s="663">
        <f t="shared" si="12"/>
        <v>4132.9699999999993</v>
      </c>
      <c r="AQ40" s="663">
        <f t="shared" si="12"/>
        <v>3265.6879999999996</v>
      </c>
      <c r="AR40" s="663">
        <f t="shared" si="12"/>
        <v>3670.0099999999998</v>
      </c>
      <c r="AS40" s="663">
        <f t="shared" si="12"/>
        <v>3735.9300000000003</v>
      </c>
      <c r="AT40" s="663">
        <f t="shared" si="12"/>
        <v>3786.0600000000004</v>
      </c>
      <c r="AU40" s="663">
        <f t="shared" si="12"/>
        <v>3547.3199999999997</v>
      </c>
      <c r="AV40" s="663">
        <f t="shared" si="12"/>
        <v>4131.7800000000007</v>
      </c>
      <c r="AW40" s="663">
        <f t="shared" si="12"/>
        <v>3256.8100000000004</v>
      </c>
      <c r="AX40" s="663">
        <f t="shared" si="12"/>
        <v>3506.31</v>
      </c>
      <c r="AY40" s="663">
        <f t="shared" si="12"/>
        <v>4917.55</v>
      </c>
      <c r="AZ40" s="663">
        <f t="shared" si="12"/>
        <v>3959.44</v>
      </c>
      <c r="BA40" s="661">
        <f t="shared" si="12"/>
        <v>2828.78</v>
      </c>
      <c r="BB40" s="661">
        <f t="shared" si="12"/>
        <v>4763.95</v>
      </c>
      <c r="BC40" s="661">
        <f t="shared" si="12"/>
        <v>3497.5099999999998</v>
      </c>
      <c r="BD40" s="661">
        <f t="shared" si="12"/>
        <v>2866.7400000000002</v>
      </c>
      <c r="BE40" s="661">
        <f t="shared" ref="BE40:BI40" si="13">SUM(BE34:BE39)</f>
        <v>3935.9</v>
      </c>
      <c r="BF40" s="661">
        <f t="shared" si="13"/>
        <v>4029.71</v>
      </c>
      <c r="BG40" s="661">
        <f t="shared" si="13"/>
        <v>4415.1400000000003</v>
      </c>
      <c r="BH40" s="661">
        <f t="shared" si="13"/>
        <v>4735.78</v>
      </c>
      <c r="BI40" s="661">
        <f t="shared" si="13"/>
        <v>3753.63</v>
      </c>
    </row>
    <row r="41" spans="1:61" s="1404" customFormat="1">
      <c r="D41" s="662"/>
      <c r="E41" s="1405"/>
      <c r="F41" s="1405"/>
      <c r="G41" s="1405"/>
      <c r="H41" s="1405"/>
      <c r="I41" s="1405"/>
      <c r="J41" s="1405"/>
      <c r="K41" s="1405"/>
      <c r="L41" s="1405"/>
    </row>
    <row r="42" spans="1:61">
      <c r="A42" s="3423" t="s">
        <v>293</v>
      </c>
      <c r="B42" s="3423"/>
      <c r="C42" s="3423"/>
      <c r="D42" s="3423"/>
      <c r="E42" s="1409">
        <f t="shared" ref="E42:AJ42" si="14">E20+E30+E40</f>
        <v>16785.7</v>
      </c>
      <c r="F42" s="1409">
        <f t="shared" si="14"/>
        <v>18363.84</v>
      </c>
      <c r="G42" s="1409">
        <f t="shared" si="14"/>
        <v>20594.189999999999</v>
      </c>
      <c r="H42" s="1409">
        <f t="shared" si="14"/>
        <v>11863.78</v>
      </c>
      <c r="I42" s="1409">
        <f t="shared" si="14"/>
        <v>20610.61</v>
      </c>
      <c r="J42" s="1409">
        <f t="shared" si="14"/>
        <v>14108.69</v>
      </c>
      <c r="K42" s="1409">
        <f t="shared" si="14"/>
        <v>14828.52</v>
      </c>
      <c r="L42" s="1409">
        <f t="shared" si="14"/>
        <v>20455.23</v>
      </c>
      <c r="M42" s="1409">
        <f t="shared" si="14"/>
        <v>15109.539999999999</v>
      </c>
      <c r="N42" s="1409">
        <f t="shared" si="14"/>
        <v>21102.720000000001</v>
      </c>
      <c r="O42" s="1409">
        <f t="shared" si="14"/>
        <v>21463.96</v>
      </c>
      <c r="P42" s="1409">
        <f t="shared" si="14"/>
        <v>17810.3</v>
      </c>
      <c r="Q42" s="1409">
        <f t="shared" si="14"/>
        <v>15860.699999999999</v>
      </c>
      <c r="R42" s="1409">
        <f t="shared" si="14"/>
        <v>15611.11</v>
      </c>
      <c r="S42" s="1409">
        <f t="shared" si="14"/>
        <v>22879.25</v>
      </c>
      <c r="T42" s="1409">
        <f t="shared" si="14"/>
        <v>16697.939999999999</v>
      </c>
      <c r="U42" s="1409">
        <f t="shared" si="14"/>
        <v>24937.91</v>
      </c>
      <c r="V42" s="1409">
        <f t="shared" si="14"/>
        <v>20434.940000000002</v>
      </c>
      <c r="W42" s="1409">
        <f t="shared" si="14"/>
        <v>19219.349999999999</v>
      </c>
      <c r="X42" s="1409">
        <f t="shared" si="14"/>
        <v>20379.399999999998</v>
      </c>
      <c r="Y42" s="1409">
        <f t="shared" si="14"/>
        <v>17915.899999999998</v>
      </c>
      <c r="Z42" s="1409">
        <f t="shared" si="14"/>
        <v>19334.52</v>
      </c>
      <c r="AA42" s="1409">
        <f t="shared" si="14"/>
        <v>18770.440000000002</v>
      </c>
      <c r="AB42" s="1409">
        <f t="shared" si="14"/>
        <v>16284.140000000001</v>
      </c>
      <c r="AC42" s="1409">
        <f t="shared" si="14"/>
        <v>18775.03</v>
      </c>
      <c r="AD42" s="1409">
        <f t="shared" si="14"/>
        <v>18211.11</v>
      </c>
      <c r="AE42" s="1409">
        <f t="shared" si="14"/>
        <v>22928.679999999997</v>
      </c>
      <c r="AF42" s="1402">
        <f t="shared" si="14"/>
        <v>17583.050000000003</v>
      </c>
      <c r="AG42" s="1402">
        <f t="shared" si="14"/>
        <v>17967.79</v>
      </c>
      <c r="AH42" s="1402">
        <f t="shared" si="14"/>
        <v>15778.98</v>
      </c>
      <c r="AI42" s="1402">
        <f t="shared" si="14"/>
        <v>21835.74</v>
      </c>
      <c r="AJ42" s="1402">
        <f t="shared" si="14"/>
        <v>18576.349999999999</v>
      </c>
      <c r="AK42" s="1402">
        <f>AK20+AK30+AK40</f>
        <v>18397.91</v>
      </c>
      <c r="AL42" s="1402">
        <v>18516.72</v>
      </c>
      <c r="AM42" s="1402">
        <v>20881.589999999997</v>
      </c>
      <c r="AN42" s="1402">
        <v>18438.07</v>
      </c>
      <c r="AO42" s="1402">
        <f t="shared" ref="AO42:BD42" si="15">AO20+AO30+AO40</f>
        <v>22306.12</v>
      </c>
      <c r="AP42" s="1402">
        <f t="shared" si="15"/>
        <v>27396.67</v>
      </c>
      <c r="AQ42" s="1402">
        <f t="shared" si="15"/>
        <v>10586.45</v>
      </c>
      <c r="AR42" s="1410">
        <f t="shared" si="15"/>
        <v>23273.16</v>
      </c>
      <c r="AS42" s="1410">
        <f t="shared" si="15"/>
        <v>18505.2</v>
      </c>
      <c r="AT42" s="1410">
        <f t="shared" si="15"/>
        <v>14469.68</v>
      </c>
      <c r="AU42" s="1410">
        <f t="shared" si="15"/>
        <v>18435.32</v>
      </c>
      <c r="AV42" s="1410">
        <f t="shared" si="15"/>
        <v>18813.200000000004</v>
      </c>
      <c r="AW42" s="1410">
        <f t="shared" si="15"/>
        <v>17047.719999999998</v>
      </c>
      <c r="AX42" s="1410">
        <f t="shared" si="15"/>
        <v>21590.720000000001</v>
      </c>
      <c r="AY42" s="1410">
        <f t="shared" si="15"/>
        <v>21674.49</v>
      </c>
      <c r="AZ42" s="1410">
        <f t="shared" si="15"/>
        <v>24756.639999999996</v>
      </c>
      <c r="BA42" s="1410">
        <f t="shared" si="15"/>
        <v>16623.28</v>
      </c>
      <c r="BB42" s="1410">
        <f t="shared" si="15"/>
        <v>21302.07</v>
      </c>
      <c r="BC42" s="1410">
        <f t="shared" si="15"/>
        <v>19541.519999999997</v>
      </c>
      <c r="BD42" s="1410">
        <f t="shared" si="15"/>
        <v>17686.52</v>
      </c>
      <c r="BE42" s="1410">
        <f t="shared" ref="BE42:BG42" si="16">BE20+BE30+BE40</f>
        <v>21478.31</v>
      </c>
      <c r="BF42" s="1410">
        <f t="shared" si="16"/>
        <v>18033.91</v>
      </c>
      <c r="BG42" s="1410">
        <f t="shared" si="16"/>
        <v>17978.400000000001</v>
      </c>
      <c r="BH42" s="2807">
        <v>19854.419999999998</v>
      </c>
      <c r="BI42" s="2807">
        <v>19427.050000000003</v>
      </c>
    </row>
    <row r="43" spans="1:61">
      <c r="A43" s="3424" t="s">
        <v>294</v>
      </c>
      <c r="B43" s="3424"/>
      <c r="C43" s="3424"/>
      <c r="D43" s="3424"/>
      <c r="E43" s="1409">
        <v>253097.38</v>
      </c>
      <c r="F43" s="1409">
        <v>251262.87</v>
      </c>
      <c r="G43" s="1409">
        <v>334885.59000000003</v>
      </c>
      <c r="H43" s="1409">
        <v>264298.31</v>
      </c>
      <c r="I43" s="1409">
        <v>259779.46999999997</v>
      </c>
      <c r="J43" s="1409">
        <v>267840.89</v>
      </c>
      <c r="K43" s="1409">
        <v>276370.44</v>
      </c>
      <c r="L43" s="1409">
        <v>263117.11</v>
      </c>
      <c r="M43" s="1409">
        <v>262850.92</v>
      </c>
      <c r="N43" s="1409">
        <v>256889.08000000002</v>
      </c>
      <c r="O43" s="1409">
        <v>264208.48</v>
      </c>
      <c r="P43" s="1411">
        <v>470863.99</v>
      </c>
      <c r="Q43" s="1412">
        <v>246294.96000000002</v>
      </c>
      <c r="R43" s="1412">
        <v>258911.16999999998</v>
      </c>
      <c r="S43" s="1412">
        <v>329530.95999999996</v>
      </c>
      <c r="T43" s="1412">
        <v>258097.68</v>
      </c>
      <c r="U43" s="1412">
        <v>272870.40999999997</v>
      </c>
      <c r="V43" s="1412">
        <v>270588.87</v>
      </c>
      <c r="W43" s="1412">
        <v>267333.93</v>
      </c>
      <c r="X43" s="1412">
        <v>265125.45</v>
      </c>
      <c r="Y43" s="1412">
        <v>270404.72000000003</v>
      </c>
      <c r="Z43" s="1412">
        <v>268398.53000000003</v>
      </c>
      <c r="AA43" s="1412">
        <v>254309.08000000002</v>
      </c>
      <c r="AB43" s="1412">
        <v>233335.61</v>
      </c>
      <c r="AC43" s="1412">
        <v>243798.31</v>
      </c>
      <c r="AD43" s="1412">
        <v>253185.74</v>
      </c>
      <c r="AE43" s="1412">
        <v>260322.44</v>
      </c>
      <c r="AF43" s="1413">
        <v>284248.42000000004</v>
      </c>
      <c r="AG43" s="1413">
        <v>251883.99</v>
      </c>
      <c r="AH43" s="1413">
        <v>246816.75</v>
      </c>
      <c r="AI43" s="1413">
        <v>259762.83999999997</v>
      </c>
      <c r="AJ43" s="1413">
        <v>251143.24999999997</v>
      </c>
      <c r="AK43" s="1413">
        <v>252210.31999999998</v>
      </c>
      <c r="AL43" s="1413">
        <v>249624.72</v>
      </c>
      <c r="AM43" s="1413">
        <v>257833.19</v>
      </c>
      <c r="AN43" s="1413">
        <v>233335.61</v>
      </c>
      <c r="AO43" s="1413">
        <v>399362.72</v>
      </c>
      <c r="AP43" s="1413">
        <v>402058.40999999992</v>
      </c>
      <c r="AQ43" s="1413">
        <v>402058.40999999992</v>
      </c>
      <c r="AR43" s="1414">
        <v>317642.68</v>
      </c>
      <c r="AS43" s="1414">
        <v>316064.64000000001</v>
      </c>
      <c r="AT43" s="1414">
        <v>327589.51</v>
      </c>
      <c r="AU43" s="1414">
        <v>324796.01</v>
      </c>
      <c r="AV43" s="1414">
        <v>323177.76</v>
      </c>
      <c r="AW43" s="1410">
        <v>326266.96999999997</v>
      </c>
      <c r="AX43" s="1410">
        <v>335061.46999999997</v>
      </c>
      <c r="AY43" s="1410">
        <v>344524.30000000005</v>
      </c>
      <c r="AZ43" s="1410">
        <v>330629.27</v>
      </c>
      <c r="BA43" s="1410">
        <v>327960.72000000003</v>
      </c>
      <c r="BB43" s="1410">
        <v>346251.16000000003</v>
      </c>
      <c r="BC43" s="1410">
        <v>356949.2</v>
      </c>
      <c r="BD43" s="1410">
        <v>358783.98</v>
      </c>
      <c r="BE43" s="1410">
        <v>382345.38</v>
      </c>
      <c r="BF43" s="1410">
        <v>360506.42</v>
      </c>
      <c r="BG43" s="1410">
        <v>361640.37</v>
      </c>
      <c r="BH43" s="2809">
        <v>364999.27999999997</v>
      </c>
      <c r="BI43" s="2809">
        <v>366984.24</v>
      </c>
    </row>
    <row r="44" spans="1:61">
      <c r="A44" s="3395" t="s">
        <v>295</v>
      </c>
      <c r="B44" s="3395"/>
      <c r="C44" s="3395"/>
      <c r="D44" s="3395"/>
      <c r="E44" s="1415">
        <f t="shared" ref="E44:AJ44" si="17">E42/E43</f>
        <v>6.6321113241077409E-2</v>
      </c>
      <c r="F44" s="1415">
        <f t="shared" si="17"/>
        <v>7.3086166690685336E-2</v>
      </c>
      <c r="G44" s="1415">
        <f t="shared" si="17"/>
        <v>6.1496196357687403E-2</v>
      </c>
      <c r="H44" s="1415">
        <f t="shared" si="17"/>
        <v>4.4887839048233041E-2</v>
      </c>
      <c r="I44" s="1415">
        <f t="shared" si="17"/>
        <v>7.9338871543621223E-2</v>
      </c>
      <c r="J44" s="1415">
        <f t="shared" si="17"/>
        <v>5.2675638883965772E-2</v>
      </c>
      <c r="K44" s="1415">
        <f t="shared" si="17"/>
        <v>5.3654508058097676E-2</v>
      </c>
      <c r="L44" s="1415">
        <f t="shared" si="17"/>
        <v>7.7741922598648192E-2</v>
      </c>
      <c r="M44" s="1415">
        <f t="shared" si="17"/>
        <v>5.7483306506973614E-2</v>
      </c>
      <c r="N44" s="1415">
        <f t="shared" si="17"/>
        <v>8.2147205323013339E-2</v>
      </c>
      <c r="O44" s="1415">
        <f t="shared" si="17"/>
        <v>8.1238724813071858E-2</v>
      </c>
      <c r="P44" s="1415">
        <f t="shared" si="17"/>
        <v>3.7824723016087934E-2</v>
      </c>
      <c r="Q44" s="1415">
        <f t="shared" si="17"/>
        <v>6.4397176458665648E-2</v>
      </c>
      <c r="R44" s="1415">
        <f t="shared" si="17"/>
        <v>6.0295235620772956E-2</v>
      </c>
      <c r="S44" s="1415">
        <f t="shared" si="17"/>
        <v>6.9429743414700706E-2</v>
      </c>
      <c r="T44" s="1415">
        <f t="shared" si="17"/>
        <v>6.4696203390902235E-2</v>
      </c>
      <c r="U44" s="1415">
        <f t="shared" si="17"/>
        <v>9.1391037965604272E-2</v>
      </c>
      <c r="V44" s="1415">
        <f t="shared" si="17"/>
        <v>7.5520253290536313E-2</v>
      </c>
      <c r="W44" s="1415">
        <f t="shared" si="17"/>
        <v>7.1892669965237854E-2</v>
      </c>
      <c r="X44" s="1415">
        <f t="shared" si="17"/>
        <v>7.6867007675045895E-2</v>
      </c>
      <c r="Y44" s="1415">
        <f t="shared" si="17"/>
        <v>6.6255870089841615E-2</v>
      </c>
      <c r="Z44" s="1415">
        <f t="shared" si="17"/>
        <v>7.2036609142382399E-2</v>
      </c>
      <c r="AA44" s="1415">
        <f t="shared" si="17"/>
        <v>7.3809554892809964E-2</v>
      </c>
      <c r="AB44" s="1415">
        <f t="shared" si="17"/>
        <v>6.9788490492299918E-2</v>
      </c>
      <c r="AC44" s="1415">
        <f t="shared" si="17"/>
        <v>7.7010501016188337E-2</v>
      </c>
      <c r="AD44" s="1415">
        <f t="shared" si="17"/>
        <v>7.192786607966152E-2</v>
      </c>
      <c r="AE44" s="1415">
        <f t="shared" si="17"/>
        <v>8.8078000498151426E-2</v>
      </c>
      <c r="AF44" s="1415">
        <f t="shared" si="17"/>
        <v>6.1858039527537219E-2</v>
      </c>
      <c r="AG44" s="1415">
        <f t="shared" si="17"/>
        <v>7.1333592897269898E-2</v>
      </c>
      <c r="AH44" s="1415">
        <f t="shared" si="17"/>
        <v>6.3929939925065862E-2</v>
      </c>
      <c r="AI44" s="1415">
        <f t="shared" si="17"/>
        <v>8.4060291302635912E-2</v>
      </c>
      <c r="AJ44" s="1415">
        <f t="shared" si="17"/>
        <v>7.3967148231139007E-2</v>
      </c>
      <c r="AK44" s="1415">
        <f>AK42/AK43</f>
        <v>7.2946697819502401E-2</v>
      </c>
      <c r="AL44" s="1415">
        <v>7.4178230425255967E-2</v>
      </c>
      <c r="AM44" s="1415">
        <v>8.0988758662141197E-2</v>
      </c>
      <c r="AN44" s="1415">
        <v>7.9019528995167093E-2</v>
      </c>
      <c r="AO44" s="1415">
        <f>AO42/AO43</f>
        <v>5.5854287050128265E-2</v>
      </c>
      <c r="AP44" s="1415">
        <f t="shared" ref="AP44:BD44" si="18">AP42/AP43</f>
        <v>6.8141019609563702E-2</v>
      </c>
      <c r="AQ44" s="1415">
        <f t="shared" si="18"/>
        <v>2.6330626935524126E-2</v>
      </c>
      <c r="AR44" s="1415">
        <f t="shared" si="18"/>
        <v>7.3268365573543201E-2</v>
      </c>
      <c r="AS44" s="1415">
        <f t="shared" si="18"/>
        <v>5.8548782932503936E-2</v>
      </c>
      <c r="AT44" s="1415">
        <f t="shared" si="18"/>
        <v>4.4170156730598605E-2</v>
      </c>
      <c r="AU44" s="1415">
        <f t="shared" si="18"/>
        <v>5.6759687411184638E-2</v>
      </c>
      <c r="AV44" s="1415">
        <f t="shared" si="18"/>
        <v>5.8213164173178268E-2</v>
      </c>
      <c r="AW44" s="1415">
        <f t="shared" si="18"/>
        <v>5.2250830048778764E-2</v>
      </c>
      <c r="AX44" s="1415">
        <f t="shared" si="18"/>
        <v>6.4438086539762393E-2</v>
      </c>
      <c r="AY44" s="1415">
        <f t="shared" si="18"/>
        <v>6.2911353422675842E-2</v>
      </c>
      <c r="AZ44" s="1415">
        <f t="shared" si="18"/>
        <v>7.4877339202303522E-2</v>
      </c>
      <c r="BA44" s="1415">
        <f t="shared" si="18"/>
        <v>5.0686801760893796E-2</v>
      </c>
      <c r="BB44" s="1415">
        <f t="shared" si="18"/>
        <v>6.1522017716850383E-2</v>
      </c>
      <c r="BC44" s="1415">
        <f t="shared" si="18"/>
        <v>5.4745941439286031E-2</v>
      </c>
      <c r="BD44" s="1415">
        <f t="shared" si="18"/>
        <v>4.929573499909333E-2</v>
      </c>
      <c r="BE44" s="1415">
        <f t="shared" ref="BE44:BG44" si="19">BE42/BE43</f>
        <v>5.6175152423706548E-2</v>
      </c>
      <c r="BF44" s="1415">
        <f t="shared" si="19"/>
        <v>5.002382481843181E-2</v>
      </c>
      <c r="BG44" s="1415">
        <f t="shared" si="19"/>
        <v>4.971347640198466E-2</v>
      </c>
      <c r="BH44" s="2808">
        <v>5.4395778534138475E-2</v>
      </c>
      <c r="BI44" s="2808">
        <v>5.2937014406940208E-2</v>
      </c>
    </row>
    <row r="46" spans="1:61">
      <c r="A46" s="3418" t="s">
        <v>861</v>
      </c>
      <c r="B46" s="3418"/>
      <c r="C46" s="3418"/>
      <c r="D46" s="3418"/>
      <c r="F46" s="1416"/>
    </row>
    <row r="47" spans="1:61">
      <c r="A47" s="807" t="s">
        <v>271</v>
      </c>
      <c r="B47" s="807" t="s">
        <v>275</v>
      </c>
      <c r="C47" s="807" t="s">
        <v>201</v>
      </c>
      <c r="D47" s="807" t="s">
        <v>202</v>
      </c>
      <c r="F47" s="1417"/>
      <c r="G47" s="1417"/>
      <c r="H47" s="1417"/>
      <c r="I47" s="1417"/>
      <c r="R47" s="1417"/>
      <c r="S47" s="1417"/>
      <c r="T47" s="1417"/>
      <c r="U47" s="1417"/>
      <c r="AL47" s="1417"/>
      <c r="AM47" s="1417"/>
      <c r="AN47" s="1417"/>
      <c r="AO47" s="1417"/>
    </row>
    <row r="48" spans="1:61">
      <c r="A48" s="808" t="s">
        <v>272</v>
      </c>
      <c r="B48" s="1418">
        <v>1715.16</v>
      </c>
      <c r="C48" s="1418">
        <v>6188.76</v>
      </c>
      <c r="D48" s="1418">
        <v>6770.21</v>
      </c>
      <c r="F48" s="1417"/>
      <c r="G48" s="1417"/>
      <c r="H48" s="1417"/>
      <c r="I48" s="1417"/>
      <c r="R48" s="1417"/>
      <c r="S48" s="1417"/>
      <c r="T48" s="1417"/>
      <c r="U48" s="1417"/>
      <c r="AL48" s="1417"/>
      <c r="AM48" s="1417"/>
      <c r="AN48" s="1417"/>
      <c r="AO48" s="1417"/>
    </row>
    <row r="49" spans="1:55">
      <c r="A49" s="808" t="s">
        <v>273</v>
      </c>
      <c r="B49" s="1408">
        <v>52876.11</v>
      </c>
      <c r="C49" s="1408">
        <v>38745.5</v>
      </c>
      <c r="D49" s="1408">
        <v>22114.32</v>
      </c>
      <c r="F49" s="1417"/>
      <c r="G49" s="1417"/>
      <c r="H49" s="1417"/>
      <c r="I49" s="1417"/>
      <c r="R49" s="1417"/>
      <c r="S49" s="1417"/>
      <c r="T49" s="1417"/>
      <c r="U49" s="1417"/>
      <c r="AL49" s="1417"/>
      <c r="AM49" s="1417"/>
      <c r="AN49" s="1417"/>
      <c r="AO49" s="1417"/>
    </row>
    <row r="50" spans="1:55" ht="15.75" thickBot="1">
      <c r="A50" s="1011" t="s">
        <v>274</v>
      </c>
      <c r="B50" s="1419">
        <v>24054.21</v>
      </c>
      <c r="C50" s="1419">
        <v>34315.800000000003</v>
      </c>
      <c r="D50" s="1419">
        <v>9902.0499999999993</v>
      </c>
      <c r="F50" s="1417"/>
      <c r="G50" s="1417"/>
      <c r="H50" s="1417"/>
      <c r="I50" s="1417"/>
      <c r="R50" s="1417"/>
      <c r="S50" s="1417"/>
      <c r="T50" s="1417"/>
      <c r="U50" s="1417"/>
      <c r="AL50" s="1417"/>
      <c r="AM50" s="1417"/>
      <c r="AN50" s="1417"/>
      <c r="AO50" s="1417"/>
    </row>
    <row r="51" spans="1:55" ht="15.75" thickBot="1">
      <c r="A51" s="1420" t="s">
        <v>214</v>
      </c>
      <c r="B51" s="1012">
        <f>SUM(B48:B50)</f>
        <v>78645.48000000001</v>
      </c>
      <c r="C51" s="1012">
        <f>SUM(C48:C50)</f>
        <v>79250.06</v>
      </c>
      <c r="D51" s="1013">
        <f>SUM(D48:D50)</f>
        <v>38786.58</v>
      </c>
      <c r="E51" s="1416">
        <f t="shared" ref="E51:AB51" si="20">SUM(E48:E50)</f>
        <v>0</v>
      </c>
      <c r="F51" s="1416">
        <f t="shared" si="20"/>
        <v>0</v>
      </c>
      <c r="G51" s="1416">
        <f t="shared" si="20"/>
        <v>0</v>
      </c>
      <c r="H51" s="1416">
        <f t="shared" si="20"/>
        <v>0</v>
      </c>
      <c r="I51" s="1416">
        <f t="shared" si="20"/>
        <v>0</v>
      </c>
      <c r="J51" s="1416">
        <f t="shared" si="20"/>
        <v>0</v>
      </c>
      <c r="K51" s="1416">
        <f t="shared" si="20"/>
        <v>0</v>
      </c>
      <c r="L51" s="1416">
        <f t="shared" si="20"/>
        <v>0</v>
      </c>
      <c r="M51" s="1416">
        <f t="shared" si="20"/>
        <v>0</v>
      </c>
      <c r="N51" s="1416">
        <f t="shared" si="20"/>
        <v>0</v>
      </c>
      <c r="O51" s="1416">
        <f t="shared" si="20"/>
        <v>0</v>
      </c>
      <c r="P51" s="1416">
        <f t="shared" si="20"/>
        <v>0</v>
      </c>
      <c r="Q51" s="1416">
        <f t="shared" si="20"/>
        <v>0</v>
      </c>
      <c r="R51" s="1416">
        <f t="shared" si="20"/>
        <v>0</v>
      </c>
      <c r="S51" s="1416">
        <f t="shared" si="20"/>
        <v>0</v>
      </c>
      <c r="T51" s="1416">
        <f t="shared" si="20"/>
        <v>0</v>
      </c>
      <c r="U51" s="1416">
        <f t="shared" si="20"/>
        <v>0</v>
      </c>
      <c r="V51" s="1416">
        <f t="shared" si="20"/>
        <v>0</v>
      </c>
      <c r="W51" s="1416">
        <f t="shared" si="20"/>
        <v>0</v>
      </c>
      <c r="X51" s="1416">
        <f t="shared" si="20"/>
        <v>0</v>
      </c>
      <c r="Y51" s="1416">
        <f t="shared" si="20"/>
        <v>0</v>
      </c>
      <c r="Z51" s="1416">
        <f t="shared" si="20"/>
        <v>0</v>
      </c>
      <c r="AA51" s="1416">
        <f t="shared" si="20"/>
        <v>0</v>
      </c>
      <c r="AB51" s="1416">
        <f t="shared" si="20"/>
        <v>0</v>
      </c>
      <c r="AC51" s="1421"/>
      <c r="AD51" s="1421"/>
      <c r="AE51" s="1421"/>
      <c r="AF51" s="1421"/>
      <c r="AG51" s="1421"/>
      <c r="AH51" s="1421"/>
      <c r="AI51" s="1421"/>
      <c r="AJ51" s="1421"/>
      <c r="AK51" s="1421"/>
      <c r="AL51" s="1417"/>
      <c r="AM51" s="1417"/>
      <c r="AN51" s="1417"/>
      <c r="AO51" s="1417"/>
      <c r="AP51" s="1421"/>
      <c r="AQ51" s="1421"/>
      <c r="AR51" s="1421"/>
      <c r="AS51" s="1421"/>
      <c r="AT51" s="1422"/>
      <c r="AU51" s="1422"/>
      <c r="AV51" s="1422"/>
    </row>
    <row r="52" spans="1:55">
      <c r="E52" s="664"/>
      <c r="F52" s="1417"/>
      <c r="G52" s="1417"/>
      <c r="H52" s="1417"/>
      <c r="I52" s="1417"/>
      <c r="Q52" s="1423"/>
      <c r="R52" s="1417"/>
      <c r="S52" s="1417"/>
      <c r="T52" s="1417"/>
      <c r="U52" s="1417"/>
      <c r="V52" s="665"/>
      <c r="W52" s="665"/>
      <c r="X52" s="665"/>
      <c r="Y52" s="665"/>
      <c r="Z52" s="665"/>
      <c r="AA52" s="665"/>
      <c r="AB52" s="665"/>
      <c r="AC52" s="665"/>
      <c r="AD52" s="665"/>
      <c r="AE52" s="665"/>
      <c r="AF52" s="665"/>
      <c r="AG52" s="665"/>
      <c r="AH52" s="665"/>
      <c r="AI52" s="665"/>
      <c r="AJ52" s="665"/>
      <c r="AK52" s="665"/>
      <c r="AL52" s="1417"/>
      <c r="AM52" s="1417"/>
      <c r="AN52" s="1417"/>
      <c r="AO52" s="1417"/>
      <c r="AP52" s="665"/>
      <c r="AQ52" s="665"/>
      <c r="AR52" s="665"/>
      <c r="AS52" s="665"/>
      <c r="AT52" s="1423"/>
      <c r="AU52" s="1423"/>
      <c r="AV52" s="1423"/>
    </row>
    <row r="53" spans="1:55">
      <c r="R53" s="1417"/>
      <c r="S53" s="1417"/>
      <c r="T53" s="1417"/>
      <c r="U53" s="1417"/>
      <c r="AD53" s="1416"/>
      <c r="AE53" s="1416"/>
      <c r="AF53" s="1416"/>
      <c r="AG53" s="1416"/>
      <c r="AH53" s="1416"/>
      <c r="AI53" s="1416"/>
      <c r="AJ53" s="1416"/>
      <c r="AK53" s="1416"/>
      <c r="AL53" s="1416"/>
      <c r="AM53" s="1416"/>
      <c r="AN53" s="1416"/>
      <c r="AO53" s="1416"/>
      <c r="AP53" s="1416"/>
      <c r="AQ53" s="1416"/>
      <c r="AR53" s="1416"/>
      <c r="AS53" s="1416"/>
      <c r="AT53" s="1416"/>
      <c r="AU53" s="1416"/>
      <c r="AV53" s="1416"/>
    </row>
    <row r="54" spans="1:55" ht="15.75" thickBot="1">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845"/>
      <c r="AA54" s="1845"/>
      <c r="AB54" s="1845"/>
      <c r="AC54" s="1845"/>
      <c r="AD54" s="1845"/>
      <c r="AE54" s="1845"/>
      <c r="AF54" s="1845"/>
      <c r="AG54" s="1845"/>
      <c r="AH54" s="1845"/>
      <c r="AI54" s="1845"/>
      <c r="AJ54" s="1845"/>
      <c r="AK54" s="1845"/>
      <c r="AL54" s="1845"/>
      <c r="AM54" s="1845"/>
      <c r="AN54" s="1845"/>
      <c r="AO54" s="1845"/>
      <c r="AP54" s="1845"/>
      <c r="AQ54" s="1845"/>
      <c r="AR54" s="1845"/>
      <c r="AS54" s="1845"/>
      <c r="AT54" s="1416"/>
      <c r="AU54" s="1416"/>
      <c r="AV54" s="1416"/>
    </row>
    <row r="55" spans="1:55" ht="15.75" thickBot="1">
      <c r="A55" s="3396" t="s">
        <v>707</v>
      </c>
      <c r="B55" s="3397"/>
      <c r="C55" s="3397"/>
      <c r="D55" s="3397"/>
      <c r="E55" s="3397"/>
      <c r="F55" s="3397"/>
      <c r="G55" s="3397"/>
      <c r="H55" s="3397"/>
      <c r="I55" s="3397"/>
      <c r="J55" s="3397"/>
      <c r="K55" s="3397"/>
      <c r="L55" s="3397"/>
      <c r="M55" s="3397"/>
      <c r="N55" s="3397"/>
      <c r="O55" s="3397"/>
      <c r="P55" s="3397"/>
      <c r="Q55" s="3397"/>
      <c r="R55" s="3397"/>
      <c r="S55" s="3397"/>
      <c r="T55" s="3397"/>
      <c r="U55" s="3397"/>
      <c r="V55" s="3397"/>
      <c r="W55" s="3397"/>
      <c r="X55" s="3397"/>
      <c r="Y55" s="3397"/>
      <c r="Z55" s="3397"/>
      <c r="AA55" s="3397"/>
      <c r="AB55" s="3397"/>
      <c r="AC55" s="3397"/>
      <c r="AD55" s="3397"/>
      <c r="AE55" s="3397"/>
      <c r="AF55" s="3397"/>
      <c r="AG55" s="3397"/>
      <c r="AH55" s="3397"/>
      <c r="AI55" s="3397"/>
      <c r="AJ55" s="3397"/>
      <c r="AK55" s="3397"/>
      <c r="AL55" s="3397"/>
      <c r="AM55" s="3397"/>
      <c r="AN55" s="3397"/>
      <c r="AO55" s="3397"/>
      <c r="AP55" s="3397"/>
      <c r="AQ55" s="3397"/>
      <c r="AR55" s="3397"/>
      <c r="AS55" s="3397"/>
      <c r="AT55" s="3398"/>
      <c r="AU55" s="1416"/>
      <c r="AV55" s="1416"/>
    </row>
    <row r="56" spans="1:55">
      <c r="A56" s="1866" t="s">
        <v>669</v>
      </c>
      <c r="B56" s="1863" t="s">
        <v>271</v>
      </c>
      <c r="C56" s="1847" t="s">
        <v>196</v>
      </c>
      <c r="D56" s="1847" t="s">
        <v>388</v>
      </c>
      <c r="E56" s="1847"/>
      <c r="F56" s="1847"/>
      <c r="G56" s="1847"/>
      <c r="H56" s="1847"/>
      <c r="I56" s="1847"/>
      <c r="J56" s="1848"/>
      <c r="K56" s="1847"/>
      <c r="L56" s="1847"/>
      <c r="M56" s="1847"/>
      <c r="N56" s="1847"/>
      <c r="O56" s="1847"/>
      <c r="P56" s="1847"/>
      <c r="Q56" s="1849"/>
      <c r="R56" s="1849"/>
      <c r="S56" s="1849"/>
      <c r="T56" s="1849"/>
      <c r="U56" s="1849"/>
      <c r="V56" s="1849"/>
      <c r="W56" s="1849"/>
      <c r="X56" s="1849"/>
      <c r="Y56" s="1849"/>
      <c r="Z56" s="1849"/>
      <c r="AA56" s="1849"/>
      <c r="AB56" s="1424"/>
      <c r="AC56" s="1403"/>
      <c r="AD56" s="1853"/>
      <c r="AE56" s="1853"/>
      <c r="AF56" s="1403"/>
      <c r="AG56" s="1403"/>
      <c r="AH56" s="1403"/>
      <c r="AI56" s="1403"/>
      <c r="AJ56" s="1403"/>
      <c r="AK56" s="1403"/>
      <c r="AL56" s="1403"/>
      <c r="AM56" s="1403"/>
      <c r="AN56" s="1403"/>
      <c r="AO56" s="1403"/>
      <c r="AP56" s="1403"/>
      <c r="AQ56" s="1403"/>
      <c r="AR56" s="1403"/>
      <c r="AS56" s="1850" t="s">
        <v>516</v>
      </c>
      <c r="AT56" s="1853"/>
      <c r="AU56" s="1853"/>
      <c r="AV56" s="1853"/>
      <c r="AX56" s="1851" t="s">
        <v>516</v>
      </c>
      <c r="AY56" s="1852" t="s">
        <v>637</v>
      </c>
      <c r="BB56" s="1416"/>
      <c r="BC56" s="1416"/>
    </row>
    <row r="57" spans="1:55">
      <c r="A57" s="3399" t="s">
        <v>273</v>
      </c>
      <c r="B57" s="1864" t="s">
        <v>283</v>
      </c>
      <c r="C57" s="1402">
        <v>100088.58</v>
      </c>
      <c r="D57" s="1402">
        <v>110865.56000000001</v>
      </c>
      <c r="E57" s="1425"/>
      <c r="F57" s="1402"/>
      <c r="G57" s="1425"/>
      <c r="H57" s="1425"/>
      <c r="I57" s="1425"/>
      <c r="J57" s="1402"/>
      <c r="K57" s="1425"/>
      <c r="L57" s="1425"/>
      <c r="M57" s="1425"/>
      <c r="N57" s="1425"/>
      <c r="O57" s="1425"/>
      <c r="P57" s="1425"/>
      <c r="Q57" s="1415"/>
      <c r="R57" s="1415"/>
      <c r="S57" s="1415"/>
      <c r="T57" s="1415"/>
      <c r="U57" s="1415"/>
      <c r="V57" s="1415"/>
      <c r="W57" s="1415"/>
      <c r="X57" s="1415"/>
      <c r="Y57" s="1415"/>
      <c r="Z57" s="1415"/>
      <c r="AA57" s="1415"/>
      <c r="AB57" s="1426"/>
      <c r="AC57" s="1403"/>
      <c r="AD57" s="1853"/>
      <c r="AE57" s="1853"/>
      <c r="AF57" s="1403"/>
      <c r="AG57" s="1403"/>
      <c r="AH57" s="1403"/>
      <c r="AI57" s="1403"/>
      <c r="AJ57" s="1403"/>
      <c r="AK57" s="1403"/>
      <c r="AL57" s="1403"/>
      <c r="AM57" s="1403"/>
      <c r="AN57" s="1403"/>
      <c r="AO57" s="1403"/>
      <c r="AP57" s="1403"/>
      <c r="AQ57" s="1403"/>
      <c r="AR57" s="1403"/>
      <c r="AS57" s="1427">
        <v>120711.93999999999</v>
      </c>
      <c r="AT57" s="1853"/>
      <c r="AU57" s="1853"/>
      <c r="AV57" s="1853"/>
      <c r="AX57" s="1402">
        <v>120711.93999999999</v>
      </c>
      <c r="AY57" s="1846">
        <f t="shared" ref="AY57:AY62" si="21">SUM(AO14:AZ14)+SUM(AO24:AZ24)+SUM(AO34:AZ34)</f>
        <v>122926.018</v>
      </c>
      <c r="BB57" s="1416"/>
      <c r="BC57" s="1416"/>
    </row>
    <row r="58" spans="1:55">
      <c r="A58" s="3400"/>
      <c r="B58" s="1864" t="s">
        <v>284</v>
      </c>
      <c r="C58" s="1402">
        <v>25429.42</v>
      </c>
      <c r="D58" s="1402">
        <v>23879.310000000005</v>
      </c>
      <c r="E58" s="1425"/>
      <c r="F58" s="1425"/>
      <c r="G58" s="1425"/>
      <c r="H58" s="1425"/>
      <c r="I58" s="1425"/>
      <c r="J58" s="1402"/>
      <c r="K58" s="1425"/>
      <c r="L58" s="1425"/>
      <c r="M58" s="1425"/>
      <c r="N58" s="1425"/>
      <c r="O58" s="1425"/>
      <c r="P58" s="1425"/>
      <c r="Q58" s="1415"/>
      <c r="R58" s="1415"/>
      <c r="S58" s="1415"/>
      <c r="T58" s="1415"/>
      <c r="U58" s="1415"/>
      <c r="V58" s="1415"/>
      <c r="W58" s="1415"/>
      <c r="X58" s="1415"/>
      <c r="Y58" s="1415"/>
      <c r="Z58" s="1415"/>
      <c r="AA58" s="1415"/>
      <c r="AB58" s="1426"/>
      <c r="AC58" s="1403"/>
      <c r="AD58" s="1853"/>
      <c r="AE58" s="1853"/>
      <c r="AF58" s="1403"/>
      <c r="AG58" s="1403"/>
      <c r="AH58" s="1403"/>
      <c r="AI58" s="1403"/>
      <c r="AJ58" s="1403"/>
      <c r="AK58" s="1403"/>
      <c r="AL58" s="1403"/>
      <c r="AM58" s="1403"/>
      <c r="AN58" s="1403"/>
      <c r="AO58" s="1403"/>
      <c r="AP58" s="1403"/>
      <c r="AQ58" s="1403"/>
      <c r="AR58" s="1403"/>
      <c r="AS58" s="1427">
        <v>3170.92</v>
      </c>
      <c r="AT58" s="1853"/>
      <c r="AU58" s="1853"/>
      <c r="AV58" s="1853"/>
      <c r="AX58" s="1402">
        <v>3170.92</v>
      </c>
      <c r="AY58" s="1846">
        <f t="shared" si="21"/>
        <v>8712.32</v>
      </c>
      <c r="BB58" s="1416"/>
      <c r="BC58" s="1416"/>
    </row>
    <row r="59" spans="1:55">
      <c r="A59" s="3401" t="s">
        <v>274</v>
      </c>
      <c r="B59" s="1864" t="s">
        <v>285</v>
      </c>
      <c r="C59" s="1402">
        <v>45018.340000000004</v>
      </c>
      <c r="D59" s="1402">
        <v>57024.179999999993</v>
      </c>
      <c r="E59" s="1425"/>
      <c r="F59" s="1425"/>
      <c r="G59" s="1425"/>
      <c r="H59" s="1425"/>
      <c r="I59" s="1425"/>
      <c r="J59" s="1402"/>
      <c r="K59" s="1425"/>
      <c r="L59" s="1425"/>
      <c r="M59" s="1425"/>
      <c r="N59" s="1425"/>
      <c r="O59" s="1425"/>
      <c r="P59" s="1425"/>
      <c r="Q59" s="1415"/>
      <c r="R59" s="1415"/>
      <c r="S59" s="1415"/>
      <c r="T59" s="1415"/>
      <c r="U59" s="1415"/>
      <c r="V59" s="1415"/>
      <c r="W59" s="1415"/>
      <c r="X59" s="1415"/>
      <c r="Y59" s="1415"/>
      <c r="Z59" s="1415"/>
      <c r="AA59" s="1415"/>
      <c r="AB59" s="1426"/>
      <c r="AC59" s="1403"/>
      <c r="AD59" s="1853"/>
      <c r="AE59" s="1853"/>
      <c r="AF59" s="1403"/>
      <c r="AG59" s="1403"/>
      <c r="AH59" s="1403"/>
      <c r="AI59" s="1403"/>
      <c r="AJ59" s="1403"/>
      <c r="AK59" s="1403"/>
      <c r="AL59" s="1403"/>
      <c r="AM59" s="1403"/>
      <c r="AN59" s="1403"/>
      <c r="AO59" s="1403"/>
      <c r="AP59" s="1403"/>
      <c r="AQ59" s="1403"/>
      <c r="AR59" s="1403"/>
      <c r="AS59" s="1427">
        <v>91228.2</v>
      </c>
      <c r="AT59" s="1853"/>
      <c r="AU59" s="1853"/>
      <c r="AV59" s="1853"/>
      <c r="AX59" s="1402">
        <v>91228.2</v>
      </c>
      <c r="AY59" s="1846">
        <f t="shared" si="21"/>
        <v>78724.741999999984</v>
      </c>
      <c r="BB59" s="1416"/>
      <c r="BC59" s="1416"/>
    </row>
    <row r="60" spans="1:55">
      <c r="A60" s="3402"/>
      <c r="B60" s="1864" t="s">
        <v>286</v>
      </c>
      <c r="C60" s="1402">
        <v>27073.969999999998</v>
      </c>
      <c r="D60" s="1402">
        <v>25056.949999999997</v>
      </c>
      <c r="E60" s="1425"/>
      <c r="F60" s="1425"/>
      <c r="G60" s="1425"/>
      <c r="H60" s="1425"/>
      <c r="I60" s="1425"/>
      <c r="J60" s="1402"/>
      <c r="K60" s="1425"/>
      <c r="L60" s="1425"/>
      <c r="M60" s="1425"/>
      <c r="N60" s="1425"/>
      <c r="O60" s="1425"/>
      <c r="P60" s="1425"/>
      <c r="Q60" s="1415"/>
      <c r="R60" s="1415"/>
      <c r="S60" s="1415"/>
      <c r="T60" s="1415"/>
      <c r="U60" s="1415"/>
      <c r="V60" s="1415"/>
      <c r="W60" s="1415"/>
      <c r="X60" s="1415"/>
      <c r="Y60" s="1415"/>
      <c r="Z60" s="1415"/>
      <c r="AA60" s="1415"/>
      <c r="AB60" s="1426"/>
      <c r="AC60" s="1403"/>
      <c r="AD60" s="1853"/>
      <c r="AE60" s="1853"/>
      <c r="AF60" s="1403"/>
      <c r="AG60" s="1403"/>
      <c r="AH60" s="1403"/>
      <c r="AI60" s="1403"/>
      <c r="AJ60" s="1403"/>
      <c r="AK60" s="1403"/>
      <c r="AL60" s="1403"/>
      <c r="AM60" s="1403"/>
      <c r="AN60" s="1403"/>
      <c r="AO60" s="1403"/>
      <c r="AP60" s="1403"/>
      <c r="AQ60" s="1403"/>
      <c r="AR60" s="1403"/>
      <c r="AS60" s="1427">
        <v>7794.05</v>
      </c>
      <c r="AT60" s="1853"/>
      <c r="AU60" s="1853"/>
      <c r="AV60" s="1853"/>
      <c r="AX60" s="1402">
        <v>7794.05</v>
      </c>
      <c r="AY60" s="1846">
        <f t="shared" si="21"/>
        <v>17452.330000000002</v>
      </c>
      <c r="BB60" s="1416"/>
      <c r="BC60" s="1416"/>
    </row>
    <row r="61" spans="1:55">
      <c r="A61" s="3393" t="s">
        <v>272</v>
      </c>
      <c r="B61" s="1864" t="s">
        <v>670</v>
      </c>
      <c r="C61" s="1402">
        <v>10905.46</v>
      </c>
      <c r="D61" s="1402">
        <v>8641.83</v>
      </c>
      <c r="E61" s="1425"/>
      <c r="F61" s="1425"/>
      <c r="G61" s="1425"/>
      <c r="H61" s="1425"/>
      <c r="I61" s="1425"/>
      <c r="J61" s="1402"/>
      <c r="K61" s="1425"/>
      <c r="L61" s="1425"/>
      <c r="M61" s="1425"/>
      <c r="N61" s="1425"/>
      <c r="O61" s="1425"/>
      <c r="P61" s="1425"/>
      <c r="Q61" s="1425"/>
      <c r="R61" s="1425"/>
      <c r="S61" s="1425"/>
      <c r="T61" s="1425"/>
      <c r="U61" s="1425"/>
      <c r="V61" s="1425"/>
      <c r="W61" s="1425"/>
      <c r="X61" s="1425"/>
      <c r="Y61" s="1425"/>
      <c r="Z61" s="1425"/>
      <c r="AA61" s="1425"/>
      <c r="AB61" s="1426"/>
      <c r="AC61" s="1403"/>
      <c r="AD61" s="1853"/>
      <c r="AE61" s="1853"/>
      <c r="AF61" s="1403"/>
      <c r="AG61" s="1403"/>
      <c r="AH61" s="1403"/>
      <c r="AI61" s="1403"/>
      <c r="AJ61" s="1403"/>
      <c r="AK61" s="1403"/>
      <c r="AL61" s="1403"/>
      <c r="AM61" s="1403"/>
      <c r="AN61" s="1403"/>
      <c r="AO61" s="1403"/>
      <c r="AP61" s="1403"/>
      <c r="AQ61" s="1403"/>
      <c r="AR61" s="1403"/>
      <c r="AS61" s="1427">
        <v>4954.7699999999995</v>
      </c>
      <c r="AT61" s="1853"/>
      <c r="AU61" s="1853"/>
      <c r="AV61" s="1853"/>
      <c r="AX61" s="1402">
        <v>4954.7699999999995</v>
      </c>
      <c r="AY61" s="1846">
        <f t="shared" si="21"/>
        <v>8209.4599999999991</v>
      </c>
      <c r="BB61" s="1416"/>
      <c r="BC61" s="1416"/>
    </row>
    <row r="62" spans="1:55" ht="15.75" thickBot="1">
      <c r="A62" s="3394"/>
      <c r="B62" s="1865" t="s">
        <v>289</v>
      </c>
      <c r="C62" s="1854">
        <v>4581.3099999999995</v>
      </c>
      <c r="D62" s="1854">
        <v>2857.77</v>
      </c>
      <c r="E62" s="1854"/>
      <c r="F62" s="1854"/>
      <c r="G62" s="1855"/>
      <c r="H62" s="1856"/>
      <c r="I62" s="1854"/>
      <c r="J62" s="1854"/>
      <c r="K62" s="1856"/>
      <c r="L62" s="1856"/>
      <c r="M62" s="1856"/>
      <c r="N62" s="1856"/>
      <c r="O62" s="1856"/>
      <c r="P62" s="1856"/>
      <c r="Q62" s="1856"/>
      <c r="R62" s="1856"/>
      <c r="S62" s="1856"/>
      <c r="T62" s="1856"/>
      <c r="U62" s="1856"/>
      <c r="V62" s="1856"/>
      <c r="W62" s="1856"/>
      <c r="X62" s="1856"/>
      <c r="Y62" s="1856"/>
      <c r="Z62" s="1856"/>
      <c r="AA62" s="1856"/>
      <c r="AB62" s="1426"/>
      <c r="AC62" s="1403"/>
      <c r="AD62" s="1853"/>
      <c r="AE62" s="1853"/>
      <c r="AF62" s="1403"/>
      <c r="AG62" s="1403"/>
      <c r="AH62" s="1403"/>
      <c r="AI62" s="1403"/>
      <c r="AJ62" s="1403"/>
      <c r="AK62" s="1403"/>
      <c r="AL62" s="1403"/>
      <c r="AM62" s="1403"/>
      <c r="AN62" s="1403"/>
      <c r="AO62" s="1403"/>
      <c r="AP62" s="1403"/>
      <c r="AQ62" s="1403"/>
      <c r="AR62" s="1403"/>
      <c r="AS62" s="1857">
        <v>31.14</v>
      </c>
      <c r="AT62" s="1853"/>
      <c r="AU62" s="1853"/>
      <c r="AV62" s="1853"/>
      <c r="AX62" s="1854">
        <v>31.14</v>
      </c>
      <c r="AY62" s="1846">
        <f t="shared" si="21"/>
        <v>2830.5</v>
      </c>
      <c r="BB62" s="1416"/>
      <c r="BC62" s="1416"/>
    </row>
    <row r="63" spans="1:55" ht="15.75" thickBot="1">
      <c r="A63" s="1858" t="s">
        <v>214</v>
      </c>
      <c r="B63" s="1859"/>
      <c r="C63" s="1012">
        <f>SUM(C57:C62)</f>
        <v>213097.08</v>
      </c>
      <c r="D63" s="1012">
        <f t="shared" ref="D63:AB63" si="22">SUM(D57:D62)</f>
        <v>228325.59999999998</v>
      </c>
      <c r="E63" s="1012">
        <f t="shared" si="22"/>
        <v>0</v>
      </c>
      <c r="F63" s="1012">
        <f t="shared" si="22"/>
        <v>0</v>
      </c>
      <c r="G63" s="1012">
        <f t="shared" si="22"/>
        <v>0</v>
      </c>
      <c r="H63" s="1012">
        <f t="shared" si="22"/>
        <v>0</v>
      </c>
      <c r="I63" s="1012">
        <f t="shared" si="22"/>
        <v>0</v>
      </c>
      <c r="J63" s="1012">
        <f t="shared" si="22"/>
        <v>0</v>
      </c>
      <c r="K63" s="1012">
        <f t="shared" si="22"/>
        <v>0</v>
      </c>
      <c r="L63" s="1012">
        <f t="shared" si="22"/>
        <v>0</v>
      </c>
      <c r="M63" s="1012">
        <f t="shared" si="22"/>
        <v>0</v>
      </c>
      <c r="N63" s="1012">
        <f t="shared" si="22"/>
        <v>0</v>
      </c>
      <c r="O63" s="1012">
        <f t="shared" si="22"/>
        <v>0</v>
      </c>
      <c r="P63" s="1012">
        <f t="shared" si="22"/>
        <v>0</v>
      </c>
      <c r="Q63" s="1012">
        <f t="shared" si="22"/>
        <v>0</v>
      </c>
      <c r="R63" s="1012">
        <f t="shared" si="22"/>
        <v>0</v>
      </c>
      <c r="S63" s="1012">
        <f t="shared" si="22"/>
        <v>0</v>
      </c>
      <c r="T63" s="1012">
        <f t="shared" si="22"/>
        <v>0</v>
      </c>
      <c r="U63" s="1012">
        <f t="shared" si="22"/>
        <v>0</v>
      </c>
      <c r="V63" s="1012">
        <f t="shared" si="22"/>
        <v>0</v>
      </c>
      <c r="W63" s="1012">
        <f t="shared" si="22"/>
        <v>0</v>
      </c>
      <c r="X63" s="1012">
        <f t="shared" si="22"/>
        <v>0</v>
      </c>
      <c r="Y63" s="1012">
        <f t="shared" si="22"/>
        <v>0</v>
      </c>
      <c r="Z63" s="1012">
        <f t="shared" si="22"/>
        <v>0</v>
      </c>
      <c r="AA63" s="1012">
        <f t="shared" si="22"/>
        <v>0</v>
      </c>
      <c r="AB63" s="1012">
        <f t="shared" si="22"/>
        <v>0</v>
      </c>
      <c r="AC63" s="1860"/>
      <c r="AD63" s="1861"/>
      <c r="AE63" s="1861"/>
      <c r="AF63" s="1862"/>
      <c r="AG63" s="1862"/>
      <c r="AH63" s="1862"/>
      <c r="AI63" s="1862"/>
      <c r="AJ63" s="1862"/>
      <c r="AK63" s="1862"/>
      <c r="AL63" s="1862"/>
      <c r="AM63" s="1862"/>
      <c r="AN63" s="1862"/>
      <c r="AO63" s="1862"/>
      <c r="AP63" s="1862"/>
      <c r="AQ63" s="1862"/>
      <c r="AR63" s="1862"/>
      <c r="AS63" s="1013">
        <f>SUM(AS57:AS62)</f>
        <v>227891.02</v>
      </c>
      <c r="AT63" s="1861"/>
      <c r="AU63" s="1861"/>
      <c r="AV63" s="1861"/>
      <c r="AX63" s="1013">
        <f>SUM(AX57:AX62)</f>
        <v>227891.02</v>
      </c>
      <c r="AY63" s="1013">
        <f>SUM(AY57:AY62)</f>
        <v>238855.36999999997</v>
      </c>
      <c r="BB63" s="1416"/>
      <c r="BC63" s="1416"/>
    </row>
    <row r="64" spans="1:55">
      <c r="AD64" s="1416"/>
      <c r="AE64" s="1416"/>
      <c r="AF64" s="1416"/>
      <c r="AG64" s="1416"/>
      <c r="AH64" s="1416"/>
      <c r="AI64" s="1416"/>
      <c r="AJ64" s="1416"/>
      <c r="AK64" s="1416"/>
      <c r="AL64" s="1416"/>
      <c r="AM64" s="1416"/>
      <c r="AN64" s="1416"/>
      <c r="AO64" s="1416"/>
      <c r="AP64" s="1416"/>
      <c r="AQ64" s="1416"/>
      <c r="AR64" s="1416"/>
      <c r="AS64" s="1416"/>
      <c r="AT64" s="1416"/>
      <c r="AU64" s="1416"/>
      <c r="AV64" s="1416"/>
    </row>
    <row r="69" spans="1:45">
      <c r="AE69" s="1417"/>
      <c r="AF69" s="1417"/>
      <c r="AG69" s="1417"/>
      <c r="AH69" s="1417"/>
      <c r="AI69" s="1417"/>
    </row>
    <row r="70" spans="1:45">
      <c r="AE70" s="1417"/>
      <c r="AF70" s="1417"/>
      <c r="AG70" s="1417"/>
      <c r="AH70" s="1417"/>
      <c r="AI70" s="1417"/>
    </row>
    <row r="71" spans="1:45">
      <c r="A71" s="666"/>
      <c r="AE71" s="1417"/>
      <c r="AF71" s="1417"/>
      <c r="AG71" s="1417"/>
      <c r="AH71" s="1417"/>
      <c r="AI71" s="1417"/>
    </row>
    <row r="72" spans="1:45">
      <c r="AE72" s="1417"/>
      <c r="AF72" s="1417"/>
      <c r="AG72" s="1417"/>
      <c r="AH72" s="1417"/>
      <c r="AI72" s="1417"/>
    </row>
    <row r="73" spans="1:45">
      <c r="B73" s="1417"/>
      <c r="AE73" s="1417"/>
      <c r="AF73" s="1417"/>
      <c r="AG73" s="1417"/>
      <c r="AH73" s="1417"/>
      <c r="AI73" s="1417"/>
    </row>
    <row r="74" spans="1:45">
      <c r="A74" s="1417"/>
      <c r="B74" s="1417"/>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c r="AJ74" s="1417"/>
      <c r="AK74" s="1417"/>
      <c r="AL74" s="1417"/>
      <c r="AM74" s="1417"/>
      <c r="AN74" s="1417"/>
      <c r="AO74" s="1417"/>
      <c r="AP74" s="1417"/>
      <c r="AQ74" s="1417"/>
      <c r="AR74" s="1417"/>
      <c r="AS74" s="1417"/>
    </row>
    <row r="75" spans="1:45">
      <c r="A75" s="1417"/>
      <c r="B75" s="1417"/>
      <c r="C75" s="1417"/>
      <c r="D75" s="1417"/>
      <c r="E75" s="1417"/>
      <c r="F75" s="1417"/>
      <c r="G75" s="1417"/>
      <c r="H75" s="1417"/>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c r="AJ75" s="1417"/>
      <c r="AK75" s="1417"/>
      <c r="AL75" s="1417"/>
      <c r="AM75" s="1417"/>
      <c r="AN75" s="1417"/>
      <c r="AO75" s="1417"/>
      <c r="AP75" s="1417"/>
      <c r="AQ75" s="1417"/>
      <c r="AR75" s="1417"/>
      <c r="AS75" s="1417"/>
    </row>
    <row r="76" spans="1:45">
      <c r="A76" s="1417"/>
      <c r="B76" s="1417"/>
      <c r="C76" s="1417"/>
      <c r="D76" s="1417"/>
      <c r="E76" s="1417"/>
      <c r="F76" s="1417"/>
      <c r="G76" s="1417"/>
      <c r="H76" s="1417"/>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c r="AJ76" s="1417"/>
      <c r="AK76" s="1417"/>
      <c r="AL76" s="1417"/>
      <c r="AM76" s="1417"/>
      <c r="AN76" s="1417"/>
      <c r="AO76" s="1417"/>
      <c r="AP76" s="1417"/>
      <c r="AQ76" s="1417"/>
      <c r="AR76" s="1417"/>
      <c r="AS76" s="1417"/>
    </row>
    <row r="77" spans="1:45" ht="15" customHeight="1">
      <c r="A77" s="1417"/>
      <c r="B77" s="1417"/>
      <c r="C77" s="1417"/>
      <c r="D77" s="1417"/>
      <c r="E77" s="1417"/>
      <c r="F77" s="1417"/>
      <c r="G77" s="1417"/>
      <c r="H77" s="1417"/>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c r="AJ77" s="1417"/>
      <c r="AK77" s="1417"/>
      <c r="AL77" s="1417"/>
      <c r="AM77" s="1417"/>
      <c r="AN77" s="1417"/>
      <c r="AO77" s="1417"/>
      <c r="AP77" s="1417"/>
      <c r="AQ77" s="1417"/>
      <c r="AR77" s="1417"/>
      <c r="AS77" s="1417"/>
    </row>
    <row r="78" spans="1:45">
      <c r="A78" s="1417"/>
      <c r="B78" s="1417"/>
      <c r="C78" s="1417"/>
      <c r="D78" s="1417"/>
      <c r="E78" s="1417"/>
      <c r="F78" s="1417"/>
      <c r="G78" s="1417"/>
      <c r="H78" s="1417"/>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c r="AJ78" s="1417"/>
      <c r="AK78" s="1417"/>
      <c r="AL78" s="1417"/>
      <c r="AM78" s="1417"/>
      <c r="AN78" s="1417"/>
      <c r="AO78" s="1417"/>
      <c r="AP78" s="1417"/>
      <c r="AQ78" s="1417"/>
      <c r="AR78" s="1417"/>
      <c r="AS78" s="1417"/>
    </row>
    <row r="79" spans="1:45" ht="30" customHeight="1">
      <c r="A79" s="1417"/>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row>
    <row r="80" spans="1:45">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row>
    <row r="81" spans="1:48">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row>
    <row r="82" spans="1:48">
      <c r="B82" s="1417"/>
    </row>
    <row r="84" spans="1:48">
      <c r="D84" s="1417"/>
      <c r="E84" s="1417"/>
      <c r="F84" s="1417"/>
      <c r="G84" s="1417"/>
      <c r="H84" s="1417"/>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c r="AJ84" s="1417"/>
      <c r="AK84" s="1417"/>
      <c r="AL84" s="1417"/>
      <c r="AM84" s="1417"/>
      <c r="AN84" s="1417"/>
      <c r="AO84" s="1417"/>
      <c r="AP84" s="1417"/>
      <c r="AQ84" s="1417"/>
      <c r="AR84" s="1417"/>
      <c r="AS84" s="1417"/>
      <c r="AT84" s="1417"/>
      <c r="AU84" s="1417"/>
      <c r="AV84" s="1417"/>
    </row>
    <row r="85" spans="1:48">
      <c r="D85" s="1417"/>
      <c r="E85" s="1417"/>
      <c r="F85" s="1417"/>
      <c r="G85" s="1417"/>
      <c r="H85" s="1417"/>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c r="AJ85" s="1417"/>
      <c r="AK85" s="1417"/>
      <c r="AL85" s="1417"/>
      <c r="AM85" s="1417"/>
      <c r="AN85" s="1417"/>
      <c r="AO85" s="1417"/>
      <c r="AP85" s="1417"/>
      <c r="AQ85" s="1417"/>
      <c r="AR85" s="1417"/>
      <c r="AS85" s="1417"/>
      <c r="AT85" s="1417"/>
      <c r="AU85" s="1417"/>
      <c r="AV85" s="1417"/>
    </row>
    <row r="86" spans="1:48">
      <c r="D86" s="1417"/>
      <c r="E86" s="1417"/>
      <c r="F86" s="1417"/>
      <c r="G86" s="1417"/>
      <c r="H86" s="1417"/>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c r="AJ86" s="1417"/>
      <c r="AK86" s="1417"/>
      <c r="AL86" s="1417"/>
      <c r="AM86" s="1417"/>
      <c r="AN86" s="1417"/>
      <c r="AO86" s="1417"/>
      <c r="AP86" s="1417"/>
      <c r="AQ86" s="1417"/>
      <c r="AR86" s="1417"/>
      <c r="AS86" s="1417"/>
      <c r="AT86" s="1417"/>
      <c r="AU86" s="1417"/>
      <c r="AV86" s="1417"/>
    </row>
    <row r="87" spans="1:48">
      <c r="D87" s="1417"/>
      <c r="E87" s="1417"/>
      <c r="F87" s="1417"/>
      <c r="G87" s="1417"/>
      <c r="H87" s="1417"/>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c r="AJ87" s="1417"/>
      <c r="AK87" s="1417"/>
      <c r="AL87" s="1417"/>
      <c r="AM87" s="1417"/>
      <c r="AN87" s="1417"/>
      <c r="AO87" s="1417"/>
      <c r="AP87" s="1417"/>
      <c r="AQ87" s="1417"/>
      <c r="AR87" s="1417"/>
      <c r="AS87" s="1417"/>
      <c r="AT87" s="1417"/>
      <c r="AU87" s="1417"/>
      <c r="AV87" s="1417"/>
    </row>
    <row r="88" spans="1:48" ht="15" customHeight="1">
      <c r="D88" s="1417"/>
      <c r="E88" s="1417"/>
      <c r="F88" s="1417"/>
      <c r="G88" s="1417"/>
      <c r="H88" s="1417"/>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c r="AJ88" s="1417"/>
      <c r="AK88" s="1417"/>
      <c r="AL88" s="1417"/>
      <c r="AM88" s="1417"/>
      <c r="AN88" s="1417"/>
      <c r="AO88" s="1417"/>
      <c r="AP88" s="1417"/>
      <c r="AQ88" s="1417"/>
      <c r="AR88" s="1417"/>
      <c r="AS88" s="1417"/>
      <c r="AT88" s="1417"/>
      <c r="AU88" s="1417"/>
      <c r="AV88" s="1417"/>
    </row>
    <row r="89" spans="1:48" ht="15" customHeight="1">
      <c r="D89" s="1417"/>
      <c r="E89" s="1417"/>
      <c r="F89" s="1417"/>
      <c r="G89" s="1417"/>
      <c r="H89" s="1417"/>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c r="AJ89" s="1417"/>
      <c r="AK89" s="1417"/>
      <c r="AL89" s="1417"/>
      <c r="AM89" s="1417"/>
      <c r="AN89" s="1417"/>
      <c r="AO89" s="1417"/>
      <c r="AP89" s="1417"/>
      <c r="AQ89" s="1417"/>
      <c r="AR89" s="1417"/>
      <c r="AS89" s="1417"/>
      <c r="AT89" s="1417"/>
      <c r="AU89" s="1417"/>
      <c r="AV89" s="1417"/>
    </row>
    <row r="90" spans="1:48">
      <c r="D90" s="1417"/>
      <c r="E90" s="1417"/>
      <c r="F90" s="1417"/>
      <c r="G90" s="1417"/>
      <c r="H90" s="1417"/>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c r="AJ90" s="1417"/>
      <c r="AK90" s="1417"/>
      <c r="AL90" s="1417"/>
      <c r="AM90" s="1417"/>
      <c r="AN90" s="1417"/>
      <c r="AO90" s="1417"/>
      <c r="AP90" s="1417"/>
      <c r="AQ90" s="1417"/>
      <c r="AR90" s="1417"/>
      <c r="AS90" s="1417"/>
      <c r="AT90" s="1417"/>
      <c r="AU90" s="1417"/>
      <c r="AV90" s="1417"/>
    </row>
    <row r="91" spans="1:48">
      <c r="D91" s="1417"/>
      <c r="E91" s="1417"/>
      <c r="F91" s="1417"/>
      <c r="G91" s="1417"/>
      <c r="H91" s="1417"/>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c r="AJ91" s="1417"/>
      <c r="AK91" s="1417"/>
      <c r="AL91" s="1417"/>
      <c r="AM91" s="1417"/>
      <c r="AN91" s="1417"/>
      <c r="AO91" s="1417"/>
      <c r="AP91" s="1417"/>
      <c r="AQ91" s="1417"/>
      <c r="AR91" s="1417"/>
      <c r="AS91" s="1417"/>
      <c r="AT91" s="1417"/>
      <c r="AU91" s="1417"/>
      <c r="AV91" s="1417"/>
    </row>
  </sheetData>
  <mergeCells count="63">
    <mergeCell ref="C3:AZ3"/>
    <mergeCell ref="A2:BA2"/>
    <mergeCell ref="C4:BA4"/>
    <mergeCell ref="C5:BA5"/>
    <mergeCell ref="C6:BA6"/>
    <mergeCell ref="A23:B23"/>
    <mergeCell ref="A28:B29"/>
    <mergeCell ref="C28:D28"/>
    <mergeCell ref="A24:B25"/>
    <mergeCell ref="C24:D24"/>
    <mergeCell ref="C25:D25"/>
    <mergeCell ref="A26:B27"/>
    <mergeCell ref="C29:D29"/>
    <mergeCell ref="C16:D16"/>
    <mergeCell ref="C17:D17"/>
    <mergeCell ref="A16:B17"/>
    <mergeCell ref="A18:B19"/>
    <mergeCell ref="C18:D18"/>
    <mergeCell ref="C14:D14"/>
    <mergeCell ref="C15:D15"/>
    <mergeCell ref="A46:D46"/>
    <mergeCell ref="A38:B39"/>
    <mergeCell ref="C38:D38"/>
    <mergeCell ref="C39:D39"/>
    <mergeCell ref="C40:D40"/>
    <mergeCell ref="A42:D42"/>
    <mergeCell ref="A43:D43"/>
    <mergeCell ref="C23:D23"/>
    <mergeCell ref="C20:D20"/>
    <mergeCell ref="C19:D19"/>
    <mergeCell ref="A14:B15"/>
    <mergeCell ref="C26:D26"/>
    <mergeCell ref="A33:B33"/>
    <mergeCell ref="C33:D33"/>
    <mergeCell ref="C13:D13"/>
    <mergeCell ref="C7:BA7"/>
    <mergeCell ref="C8:BA8"/>
    <mergeCell ref="A3:B3"/>
    <mergeCell ref="A4:B4"/>
    <mergeCell ref="A5:B5"/>
    <mergeCell ref="A6:B6"/>
    <mergeCell ref="A7:B7"/>
    <mergeCell ref="A13:B13"/>
    <mergeCell ref="A8:B8"/>
    <mergeCell ref="A9:B9"/>
    <mergeCell ref="A10:B10"/>
    <mergeCell ref="A11:B11"/>
    <mergeCell ref="C9:BA9"/>
    <mergeCell ref="C10:BA10"/>
    <mergeCell ref="C11:BA11"/>
    <mergeCell ref="A34:B35"/>
    <mergeCell ref="C34:D34"/>
    <mergeCell ref="C35:D35"/>
    <mergeCell ref="C27:D27"/>
    <mergeCell ref="A61:A62"/>
    <mergeCell ref="A36:B37"/>
    <mergeCell ref="C36:D36"/>
    <mergeCell ref="C37:D37"/>
    <mergeCell ref="A44:D44"/>
    <mergeCell ref="A55:AT55"/>
    <mergeCell ref="A57:A58"/>
    <mergeCell ref="A59:A60"/>
    <mergeCell ref="C30:D30"/>
  </mergeCells>
  <printOptions horizontalCentered="1" verticalCentered="1"/>
  <pageMargins left="0.23622047244094491" right="0.23622047244094491" top="0.39370078740157483" bottom="0.39370078740157483" header="0.31496062992125984" footer="0.31496062992125984"/>
  <pageSetup paperSize="9" scale="53" orientation="landscape" r:id="rId1"/>
  <headerFooter>
    <oddHeader>&amp;L&amp;G</oddHeader>
  </headerFooter>
  <ignoredErrors>
    <ignoredError sqref="AC30 AC20:AJ20 AC40:AJ40 BG20 AY20:BD20 AZ30:BD30 AN40:BD40" formulaRange="1"/>
    <ignoredError sqref="AD44:AJ44" evalError="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CE66"/>
  <sheetViews>
    <sheetView showGridLines="0" tabSelected="1" view="pageBreakPreview" zoomScale="85" zoomScaleNormal="85" zoomScaleSheetLayoutView="85" workbookViewId="0">
      <pane xSplit="62" ySplit="5" topLeftCell="BU6" activePane="bottomRight" state="frozen"/>
      <selection pane="topRight" activeCell="BK1" sqref="BK1"/>
      <selection pane="bottomLeft" activeCell="A6" sqref="A6"/>
      <selection pane="bottomRight" activeCell="BK1" sqref="BK1:BK1048576"/>
    </sheetView>
  </sheetViews>
  <sheetFormatPr baseColWidth="10" defaultColWidth="12" defaultRowHeight="12.75"/>
  <cols>
    <col min="1" max="1" width="5.1640625" style="2304" bestFit="1" customWidth="1"/>
    <col min="2" max="2" width="22.33203125" style="2300" customWidth="1"/>
    <col min="3" max="3" width="33.6640625" style="2300" customWidth="1"/>
    <col min="4" max="4" width="26.5" style="2300" customWidth="1"/>
    <col min="5" max="5" width="10.5" style="1869" customWidth="1"/>
    <col min="6" max="6" width="10.1640625" style="1869" customWidth="1"/>
    <col min="7" max="7" width="13.83203125" style="1869" customWidth="1"/>
    <col min="8" max="8" width="30.6640625" style="1869" customWidth="1"/>
    <col min="9" max="9" width="0.1640625" style="1869" customWidth="1"/>
    <col min="10" max="16" width="15.83203125" style="1869" hidden="1" customWidth="1"/>
    <col min="17" max="22" width="17.33203125" style="1869" hidden="1" customWidth="1"/>
    <col min="23" max="25" width="13.5" style="1869" hidden="1" customWidth="1"/>
    <col min="26" max="26" width="13" style="1869" hidden="1" customWidth="1"/>
    <col min="27" max="32" width="13.5" style="1869" hidden="1" customWidth="1"/>
    <col min="33" max="35" width="13" style="1869" hidden="1" customWidth="1"/>
    <col min="36" max="36" width="14.1640625" style="1869" hidden="1" customWidth="1"/>
    <col min="37" max="45" width="13.5" style="1869" hidden="1" customWidth="1"/>
    <col min="46" max="58" width="16.83203125" style="1869" hidden="1" customWidth="1"/>
    <col min="59" max="59" width="16.83203125" style="2311" hidden="1" customWidth="1"/>
    <col min="60" max="63" width="14.6640625" style="2311" hidden="1" customWidth="1"/>
    <col min="64" max="65" width="14.6640625" style="2311" customWidth="1"/>
    <col min="66" max="73" width="16.83203125" style="2311" customWidth="1"/>
    <col min="74" max="74" width="16.83203125" style="2311" hidden="1" customWidth="1"/>
    <col min="75" max="76" width="16.83203125" style="2311" customWidth="1"/>
    <col min="77" max="77" width="22.83203125" style="2311" customWidth="1"/>
    <col min="78" max="78" width="38.33203125" style="1869" hidden="1" customWidth="1"/>
    <col min="79" max="79" width="27" style="1869" customWidth="1"/>
    <col min="80" max="16384" width="12" style="1869"/>
  </cols>
  <sheetData>
    <row r="1" spans="1:83">
      <c r="A1" s="2302"/>
      <c r="B1" s="1867"/>
      <c r="C1" s="1867"/>
      <c r="D1" s="1867"/>
      <c r="E1" s="1868"/>
      <c r="F1" s="1868"/>
      <c r="G1" s="1868"/>
      <c r="H1" s="1868"/>
      <c r="BV1"/>
    </row>
    <row r="2" spans="1:83">
      <c r="A2" s="2940" t="s">
        <v>565</v>
      </c>
      <c r="B2" s="2940"/>
      <c r="C2" s="2940"/>
      <c r="D2" s="2940"/>
      <c r="E2" s="2940"/>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303"/>
      <c r="AP2" s="2303"/>
      <c r="AQ2" s="2303"/>
      <c r="AR2" s="2303"/>
      <c r="AS2" s="2303"/>
      <c r="AT2" s="2303"/>
      <c r="AU2" s="2303"/>
      <c r="AV2" s="2303"/>
      <c r="AW2" s="2303"/>
      <c r="AX2" s="2303"/>
      <c r="AY2" s="2303"/>
      <c r="AZ2" s="2303"/>
      <c r="BA2" s="2303"/>
      <c r="BB2" s="2303"/>
      <c r="BC2" s="2303"/>
      <c r="BD2" s="2303"/>
      <c r="BE2" s="2303"/>
      <c r="BF2" s="2303"/>
      <c r="BG2" s="2303"/>
      <c r="BH2" s="2303"/>
      <c r="BI2" s="2303"/>
      <c r="BJ2" s="2303"/>
      <c r="BK2" s="2303"/>
      <c r="BL2" s="2303"/>
      <c r="BM2" s="2303"/>
      <c r="BN2" s="2303"/>
      <c r="BO2" s="2303"/>
      <c r="BP2" s="2303"/>
      <c r="BQ2" s="2303"/>
      <c r="BR2" s="2303"/>
      <c r="BS2" s="2379"/>
      <c r="BT2" s="2631"/>
      <c r="BU2" s="2614"/>
      <c r="BW2" s="2762"/>
      <c r="BX2" s="2762"/>
      <c r="BY2" s="2303"/>
    </row>
    <row r="3" spans="1:83" ht="13.5" thickBot="1">
      <c r="A3" s="2302"/>
      <c r="B3" s="1867"/>
      <c r="C3" s="1867"/>
      <c r="D3" s="1867"/>
      <c r="E3" s="1868"/>
      <c r="F3" s="1868"/>
      <c r="G3" s="1868"/>
      <c r="H3" s="1868"/>
      <c r="BV3" s="2731"/>
    </row>
    <row r="4" spans="1:83" ht="13.5" customHeight="1" thickBot="1">
      <c r="A4" s="2941" t="s">
        <v>195</v>
      </c>
      <c r="B4" s="2943" t="s">
        <v>68</v>
      </c>
      <c r="C4" s="2945" t="s">
        <v>77</v>
      </c>
      <c r="D4" s="2947" t="s">
        <v>11</v>
      </c>
      <c r="E4" s="2949" t="s">
        <v>193</v>
      </c>
      <c r="F4" s="2949" t="s">
        <v>44</v>
      </c>
      <c r="G4" s="2951" t="s">
        <v>16</v>
      </c>
      <c r="H4" s="2953" t="s">
        <v>78</v>
      </c>
      <c r="I4" s="2820" t="s">
        <v>403</v>
      </c>
      <c r="J4" s="2788"/>
      <c r="K4" s="2788"/>
      <c r="L4" s="2788"/>
      <c r="M4" s="2788"/>
      <c r="N4" s="2788"/>
      <c r="O4" s="2788"/>
      <c r="P4" s="2788"/>
      <c r="Q4" s="2788"/>
      <c r="R4" s="2788"/>
      <c r="S4" s="2788"/>
      <c r="T4" s="2788"/>
      <c r="U4" s="2788"/>
      <c r="V4" s="2788"/>
      <c r="W4" s="2788"/>
      <c r="X4" s="2788"/>
      <c r="Y4" s="2788"/>
      <c r="Z4" s="2788"/>
      <c r="AA4" s="2788"/>
      <c r="AB4" s="2788"/>
      <c r="AC4" s="2788"/>
      <c r="AD4" s="2788"/>
      <c r="AE4" s="2788"/>
      <c r="AF4" s="2788"/>
      <c r="AG4" s="2788"/>
      <c r="AH4" s="2788"/>
      <c r="AI4" s="2788"/>
      <c r="AJ4" s="2788"/>
      <c r="AK4" s="2788"/>
      <c r="AL4" s="2788"/>
      <c r="AM4" s="2788"/>
      <c r="AN4" s="2788"/>
      <c r="AO4" s="2788"/>
      <c r="AP4" s="2788"/>
      <c r="AQ4" s="2788"/>
      <c r="AR4" s="2788"/>
      <c r="AS4" s="2788"/>
      <c r="AT4" s="2788"/>
      <c r="AU4" s="2788"/>
      <c r="AV4" s="2788"/>
      <c r="AW4" s="2788"/>
      <c r="AX4" s="2788"/>
      <c r="AY4" s="2788"/>
      <c r="AZ4" s="2788"/>
      <c r="BA4" s="2788"/>
      <c r="BB4" s="2788"/>
      <c r="BC4" s="2788"/>
      <c r="BD4" s="2788"/>
      <c r="BE4" s="2788"/>
      <c r="BF4" s="2788"/>
      <c r="BG4" s="2788"/>
      <c r="BH4" s="2788"/>
      <c r="BI4" s="2788"/>
      <c r="BJ4" s="2788"/>
      <c r="BK4" s="2788"/>
      <c r="BL4" s="2788"/>
      <c r="BM4" s="2788"/>
      <c r="BN4" s="2788"/>
      <c r="BO4" s="2788"/>
      <c r="BP4" s="2788"/>
      <c r="BQ4" s="2788"/>
      <c r="BR4" s="2788"/>
      <c r="BS4" s="2788"/>
      <c r="BT4" s="2788"/>
      <c r="BU4" s="2788"/>
      <c r="BW4" s="2788"/>
      <c r="BX4" s="2789"/>
      <c r="BY4" s="2821" t="s">
        <v>766</v>
      </c>
      <c r="BZ4" s="2823" t="s">
        <v>660</v>
      </c>
      <c r="CA4" s="2825" t="s">
        <v>562</v>
      </c>
    </row>
    <row r="5" spans="1:83" ht="38.25" customHeight="1" thickBot="1">
      <c r="A5" s="2942"/>
      <c r="B5" s="2944"/>
      <c r="C5" s="2946"/>
      <c r="D5" s="2948"/>
      <c r="E5" s="2950"/>
      <c r="F5" s="2950"/>
      <c r="G5" s="2952"/>
      <c r="H5" s="2954"/>
      <c r="I5" s="1870">
        <v>41365</v>
      </c>
      <c r="J5" s="1871">
        <v>41395</v>
      </c>
      <c r="K5" s="1871">
        <v>41426</v>
      </c>
      <c r="L5" s="1871">
        <v>41456</v>
      </c>
      <c r="M5" s="1871">
        <v>41487</v>
      </c>
      <c r="N5" s="1871">
        <v>41518</v>
      </c>
      <c r="O5" s="1871">
        <v>41548</v>
      </c>
      <c r="P5" s="1871">
        <v>41579</v>
      </c>
      <c r="Q5" s="1871">
        <v>41609</v>
      </c>
      <c r="R5" s="1871">
        <v>41640</v>
      </c>
      <c r="S5" s="1871">
        <v>41671</v>
      </c>
      <c r="T5" s="1871">
        <v>41699</v>
      </c>
      <c r="U5" s="1871">
        <v>41730</v>
      </c>
      <c r="V5" s="1871">
        <v>41760</v>
      </c>
      <c r="W5" s="1871">
        <v>41791</v>
      </c>
      <c r="X5" s="1871">
        <v>41821</v>
      </c>
      <c r="Y5" s="1871">
        <v>41852</v>
      </c>
      <c r="Z5" s="1871">
        <v>41883</v>
      </c>
      <c r="AA5" s="1871">
        <v>41913</v>
      </c>
      <c r="AB5" s="1871">
        <v>41944</v>
      </c>
      <c r="AC5" s="1871">
        <v>41974</v>
      </c>
      <c r="AD5" s="1871">
        <v>42005</v>
      </c>
      <c r="AE5" s="1871">
        <v>42036</v>
      </c>
      <c r="AF5" s="1871">
        <v>42064</v>
      </c>
      <c r="AG5" s="1871">
        <v>42095</v>
      </c>
      <c r="AH5" s="1871">
        <v>42125</v>
      </c>
      <c r="AI5" s="1872">
        <v>42156</v>
      </c>
      <c r="AJ5" s="1873" t="s">
        <v>563</v>
      </c>
      <c r="AK5" s="1871">
        <v>42186</v>
      </c>
      <c r="AL5" s="1872">
        <v>42217</v>
      </c>
      <c r="AM5" s="1871">
        <v>42248</v>
      </c>
      <c r="AN5" s="1872">
        <v>42278</v>
      </c>
      <c r="AO5" s="1872">
        <v>42309</v>
      </c>
      <c r="AP5" s="1872">
        <v>42339</v>
      </c>
      <c r="AQ5" s="1872">
        <v>42370</v>
      </c>
      <c r="AR5" s="1872">
        <v>42401</v>
      </c>
      <c r="AS5" s="1872">
        <v>42430</v>
      </c>
      <c r="AT5" s="1872">
        <v>42461</v>
      </c>
      <c r="AU5" s="1872">
        <v>42491</v>
      </c>
      <c r="AV5" s="1874">
        <v>42522</v>
      </c>
      <c r="AW5" s="1872">
        <v>42552</v>
      </c>
      <c r="AX5" s="1872">
        <v>42583</v>
      </c>
      <c r="AY5" s="1872">
        <v>42614</v>
      </c>
      <c r="AZ5" s="1872">
        <v>42644</v>
      </c>
      <c r="BA5" s="1872">
        <v>42675</v>
      </c>
      <c r="BB5" s="2472">
        <v>42705</v>
      </c>
      <c r="BC5" s="2473">
        <v>42736</v>
      </c>
      <c r="BD5" s="1872">
        <v>42767</v>
      </c>
      <c r="BE5" s="1872">
        <v>42795</v>
      </c>
      <c r="BF5" s="1872">
        <v>42826</v>
      </c>
      <c r="BG5" s="1874">
        <v>42856</v>
      </c>
      <c r="BH5" s="2626">
        <v>42887</v>
      </c>
      <c r="BI5" s="2627">
        <v>42917</v>
      </c>
      <c r="BJ5" s="2627">
        <v>42948</v>
      </c>
      <c r="BK5" s="2627">
        <v>42979</v>
      </c>
      <c r="BL5" s="2627">
        <v>43009</v>
      </c>
      <c r="BM5" s="2627">
        <v>43040</v>
      </c>
      <c r="BN5" s="2627">
        <v>43070</v>
      </c>
      <c r="BO5" s="2627">
        <v>43101</v>
      </c>
      <c r="BP5" s="2627">
        <v>43132</v>
      </c>
      <c r="BQ5" s="2627">
        <v>43160</v>
      </c>
      <c r="BR5" s="2627">
        <v>43191</v>
      </c>
      <c r="BS5" s="2627">
        <v>43221</v>
      </c>
      <c r="BT5" s="2628">
        <v>43252</v>
      </c>
      <c r="BU5" s="2628">
        <v>43282</v>
      </c>
      <c r="BV5" s="2627" t="s">
        <v>889</v>
      </c>
      <c r="BW5" s="2627">
        <v>43313</v>
      </c>
      <c r="BX5" s="2628">
        <v>43344</v>
      </c>
      <c r="BY5" s="2822"/>
      <c r="BZ5" s="2824"/>
      <c r="CA5" s="2825"/>
    </row>
    <row r="6" spans="1:83">
      <c r="A6" s="2925" t="s">
        <v>296</v>
      </c>
      <c r="B6" s="2851" t="s">
        <v>230</v>
      </c>
      <c r="C6" s="2928" t="s">
        <v>231</v>
      </c>
      <c r="D6" s="2931" t="s">
        <v>251</v>
      </c>
      <c r="E6" s="2934" t="s">
        <v>10</v>
      </c>
      <c r="F6" s="2937" t="s">
        <v>81</v>
      </c>
      <c r="G6" s="2904" t="s">
        <v>12</v>
      </c>
      <c r="H6" s="1875" t="s">
        <v>414</v>
      </c>
      <c r="I6" s="1876">
        <v>1094.1600000000001</v>
      </c>
      <c r="J6" s="1877">
        <v>606.16300000000001</v>
      </c>
      <c r="K6" s="1877">
        <v>372.72800000000001</v>
      </c>
      <c r="L6" s="1877">
        <v>464.11900000000003</v>
      </c>
      <c r="M6" s="1877">
        <v>396.44600000000003</v>
      </c>
      <c r="N6" s="1877">
        <v>439.45</v>
      </c>
      <c r="O6" s="1877">
        <v>509.6</v>
      </c>
      <c r="P6" s="1877">
        <v>517.95799999999997</v>
      </c>
      <c r="Q6" s="1878">
        <v>728.36900000000003</v>
      </c>
      <c r="R6" s="1876">
        <v>889.51900000000001</v>
      </c>
      <c r="S6" s="1877">
        <v>967.28700000000003</v>
      </c>
      <c r="T6" s="1877">
        <v>1262.7909999999999</v>
      </c>
      <c r="U6" s="1877">
        <v>987.5865</v>
      </c>
      <c r="V6" s="1879">
        <v>878.56600000000003</v>
      </c>
      <c r="W6" s="1879">
        <v>736.22799999999995</v>
      </c>
      <c r="X6" s="1879">
        <v>641.68299999999999</v>
      </c>
      <c r="Y6" s="1879">
        <v>706.46</v>
      </c>
      <c r="Z6" s="1879">
        <v>488.77199999999999</v>
      </c>
      <c r="AA6" s="1880">
        <v>632.07399999999996</v>
      </c>
      <c r="AB6" s="1880">
        <v>790.88800000000003</v>
      </c>
      <c r="AC6" s="1881">
        <v>942.47900000000004</v>
      </c>
      <c r="AD6" s="1882">
        <v>1033.8820000000001</v>
      </c>
      <c r="AE6" s="1879">
        <v>1141.8121000000001</v>
      </c>
      <c r="AF6" s="1879">
        <v>1381.384</v>
      </c>
      <c r="AG6" s="1879">
        <v>1327.885</v>
      </c>
      <c r="AH6" s="1879">
        <v>1395.521</v>
      </c>
      <c r="AI6" s="1881">
        <v>1143.5029999999999</v>
      </c>
      <c r="AJ6" s="1877">
        <f t="shared" ref="AJ6:AJ29" si="0">SUM(X6:AI6)</f>
        <v>11626.3431</v>
      </c>
      <c r="AK6" s="1883">
        <v>927.31</v>
      </c>
      <c r="AL6" s="1883">
        <v>646.71</v>
      </c>
      <c r="AM6" s="1883">
        <v>742.24800000000016</v>
      </c>
      <c r="AN6" s="1883">
        <v>737.572</v>
      </c>
      <c r="AO6" s="1883">
        <v>853.822</v>
      </c>
      <c r="AP6" s="1883">
        <v>1123.212</v>
      </c>
      <c r="AQ6" s="1883">
        <v>1261.0070000000001</v>
      </c>
      <c r="AR6" s="1883">
        <v>1155.56</v>
      </c>
      <c r="AS6" s="1883">
        <v>1476.498</v>
      </c>
      <c r="AT6" s="1883">
        <v>1313.4390000000001</v>
      </c>
      <c r="AU6" s="1883">
        <v>1244.249</v>
      </c>
      <c r="AV6" s="1884">
        <v>969.14299999999992</v>
      </c>
      <c r="AW6" s="1885">
        <v>879.28833900000006</v>
      </c>
      <c r="AX6" s="1885">
        <v>875.77336700000012</v>
      </c>
      <c r="AY6" s="1885">
        <v>994.68394699999999</v>
      </c>
      <c r="AZ6" s="1885">
        <v>989.51350999999988</v>
      </c>
      <c r="BA6" s="1885">
        <v>1057.8559459999997</v>
      </c>
      <c r="BB6" s="1886">
        <v>1228.15807</v>
      </c>
      <c r="BC6" s="1887">
        <v>1340.848405</v>
      </c>
      <c r="BD6" s="1885">
        <v>1353.614415</v>
      </c>
      <c r="BE6" s="1885">
        <v>1452.732342</v>
      </c>
      <c r="BF6" s="1888">
        <v>1454.3651669999999</v>
      </c>
      <c r="BG6" s="2312">
        <v>1193.8976210000001</v>
      </c>
      <c r="BH6" s="2313">
        <v>1018.0887120000002</v>
      </c>
      <c r="BI6" s="2313">
        <v>961.81778899999995</v>
      </c>
      <c r="BJ6" s="2313">
        <v>888.948577</v>
      </c>
      <c r="BK6" s="2313">
        <v>805.19899100000009</v>
      </c>
      <c r="BL6" s="2313">
        <v>875.36147100000005</v>
      </c>
      <c r="BM6" s="2313">
        <v>688.94749399999989</v>
      </c>
      <c r="BN6" s="2313">
        <v>968.14513999999997</v>
      </c>
      <c r="BO6" s="2313">
        <v>1118.2271129999999</v>
      </c>
      <c r="BP6" s="2313">
        <v>1273.7184550000002</v>
      </c>
      <c r="BQ6" s="2313">
        <f>+'01_MWh GENERACIÓN'!B106</f>
        <v>1444.8490979999999</v>
      </c>
      <c r="BR6" s="2314">
        <f>+'01_MWh GENERACIÓN'!B107</f>
        <v>1357.1738479999999</v>
      </c>
      <c r="BS6" s="2595">
        <v>1215.2293500000001</v>
      </c>
      <c r="BT6" s="2595">
        <v>800.93210900000008</v>
      </c>
      <c r="BU6" s="2595">
        <v>848.28899999999999</v>
      </c>
      <c r="BV6" s="2595">
        <f>+'01_MWh GENERACIÓN'!B112</f>
        <v>835.13039900000001</v>
      </c>
      <c r="BW6" s="2595">
        <v>831.37097100000005</v>
      </c>
      <c r="BX6" s="2595">
        <v>835.13039900000001</v>
      </c>
      <c r="BY6" s="2397">
        <f t="shared" ref="BY6:BY12" si="1">SUM(BB6:BR6)</f>
        <v>19424.092707999996</v>
      </c>
      <c r="BZ6" s="1889"/>
      <c r="CA6" s="1889"/>
      <c r="CB6" s="1890"/>
      <c r="CC6" s="1890"/>
      <c r="CD6" s="1890"/>
      <c r="CE6" s="1890"/>
    </row>
    <row r="7" spans="1:83">
      <c r="A7" s="2926"/>
      <c r="B7" s="2908"/>
      <c r="C7" s="2929"/>
      <c r="D7" s="2932"/>
      <c r="E7" s="2935"/>
      <c r="F7" s="2938"/>
      <c r="G7" s="2905"/>
      <c r="H7" s="1891" t="s">
        <v>415</v>
      </c>
      <c r="I7" s="1892">
        <v>39.216000000000001</v>
      </c>
      <c r="J7" s="1893">
        <v>386.31299999999999</v>
      </c>
      <c r="K7" s="1893">
        <v>494.04399999999998</v>
      </c>
      <c r="L7" s="1893">
        <v>394.166</v>
      </c>
      <c r="M7" s="1893">
        <v>430.03899999999999</v>
      </c>
      <c r="N7" s="1893">
        <v>370.89299999999997</v>
      </c>
      <c r="O7" s="1893">
        <v>342.67200000000003</v>
      </c>
      <c r="P7" s="1893">
        <v>355.392</v>
      </c>
      <c r="Q7" s="1894">
        <v>299.47106000000002</v>
      </c>
      <c r="R7" s="1892">
        <v>266.58323437500002</v>
      </c>
      <c r="S7" s="1893">
        <v>206.78970312499999</v>
      </c>
      <c r="T7" s="1893">
        <v>64.602000000000004</v>
      </c>
      <c r="U7" s="1893">
        <v>156.55799999999999</v>
      </c>
      <c r="V7" s="1895">
        <v>382.34100000000001</v>
      </c>
      <c r="W7" s="1895">
        <v>409.87700000000001</v>
      </c>
      <c r="X7" s="1895">
        <v>486.786</v>
      </c>
      <c r="Y7" s="1895">
        <v>312.22899999999998</v>
      </c>
      <c r="Z7" s="1895">
        <v>494.31099999999998</v>
      </c>
      <c r="AA7" s="1896">
        <v>425.37099999999998</v>
      </c>
      <c r="AB7" s="1896">
        <v>331.738</v>
      </c>
      <c r="AC7" s="1897">
        <v>327.20699999999999</v>
      </c>
      <c r="AD7" s="1898">
        <v>246.34700000000001</v>
      </c>
      <c r="AE7" s="1895">
        <v>143.36000000000001</v>
      </c>
      <c r="AF7" s="1895">
        <v>73.704999999999998</v>
      </c>
      <c r="AG7" s="1895">
        <v>75.126999999999995</v>
      </c>
      <c r="AH7" s="1895">
        <v>91.13</v>
      </c>
      <c r="AI7" s="1897">
        <v>294.43900000000002</v>
      </c>
      <c r="AJ7" s="1877">
        <f t="shared" si="0"/>
        <v>3301.75</v>
      </c>
      <c r="AK7" s="1899">
        <v>441.24900000000002</v>
      </c>
      <c r="AL7" s="1899">
        <v>522.84900000000005</v>
      </c>
      <c r="AM7" s="1899">
        <v>389.46899999999999</v>
      </c>
      <c r="AN7" s="1899">
        <v>484.197</v>
      </c>
      <c r="AO7" s="1899">
        <v>381.67200000000003</v>
      </c>
      <c r="AP7" s="1899">
        <v>252.821</v>
      </c>
      <c r="AQ7" s="1899">
        <v>143.91499999999999</v>
      </c>
      <c r="AR7" s="1883">
        <v>28.443999999999999</v>
      </c>
      <c r="AS7" s="1883">
        <v>29.53416</v>
      </c>
      <c r="AT7" s="1883">
        <v>104.72</v>
      </c>
      <c r="AU7" s="1883">
        <v>101.251</v>
      </c>
      <c r="AV7" s="1900">
        <v>196.02799999999999</v>
      </c>
      <c r="AW7" s="1901">
        <v>238.99199999999999</v>
      </c>
      <c r="AX7" s="1901">
        <v>211.261</v>
      </c>
      <c r="AY7" s="1901">
        <v>40.042999999999999</v>
      </c>
      <c r="AZ7" s="1901">
        <v>75.542000000000002</v>
      </c>
      <c r="BA7" s="1901">
        <v>17.664000000000001</v>
      </c>
      <c r="BB7" s="1902">
        <v>0</v>
      </c>
      <c r="BC7" s="1903">
        <v>28.948560000000001</v>
      </c>
      <c r="BD7" s="1901">
        <v>5.4316317857142904</v>
      </c>
      <c r="BE7" s="1901">
        <v>52.237368214285702</v>
      </c>
      <c r="BF7" s="1904">
        <v>16.227989999999998</v>
      </c>
      <c r="BG7" s="2315">
        <v>247.92945</v>
      </c>
      <c r="BH7" s="2316">
        <v>206.86087499999999</v>
      </c>
      <c r="BI7" s="2316">
        <v>203.59174218800001</v>
      </c>
      <c r="BJ7" s="2316">
        <v>222.97694000000001</v>
      </c>
      <c r="BK7" s="2316">
        <v>233.45750000000001</v>
      </c>
      <c r="BL7" s="2316">
        <v>192.69644</v>
      </c>
      <c r="BM7" s="2316">
        <v>348.20287500000001</v>
      </c>
      <c r="BN7" s="2316">
        <v>195.58175</v>
      </c>
      <c r="BO7" s="2317">
        <v>205.00975</v>
      </c>
      <c r="BP7" s="2317">
        <v>70.446250000000006</v>
      </c>
      <c r="BQ7" s="2318">
        <f>95522.625/1000</f>
        <v>95.522625000000005</v>
      </c>
      <c r="BR7" s="2319">
        <f>43216.375/1000</f>
        <v>43.216374999999999</v>
      </c>
      <c r="BS7" s="2596">
        <v>256.33724999999998</v>
      </c>
      <c r="BT7" s="2596">
        <v>387.00349999999997</v>
      </c>
      <c r="BU7" s="2596">
        <v>368.59800000000001</v>
      </c>
      <c r="BV7" s="2596">
        <f>+'01_MWh GENERACIÓN'!C112</f>
        <v>255.01949999999999</v>
      </c>
      <c r="BW7" s="2596">
        <v>311.767</v>
      </c>
      <c r="BX7" s="2596">
        <v>255.01949999999999</v>
      </c>
      <c r="BY7" s="2397">
        <f t="shared" si="1"/>
        <v>2368.3381221879999</v>
      </c>
      <c r="BZ7" s="1889"/>
      <c r="CA7" s="1889"/>
      <c r="CB7" s="1890"/>
      <c r="CC7" s="1890"/>
      <c r="CD7" s="1890"/>
      <c r="CE7" s="1890"/>
    </row>
    <row r="8" spans="1:83">
      <c r="A8" s="2926"/>
      <c r="B8" s="2908"/>
      <c r="C8" s="2929"/>
      <c r="D8" s="2932"/>
      <c r="E8" s="2935"/>
      <c r="F8" s="2938"/>
      <c r="G8" s="2905"/>
      <c r="H8" s="1891" t="s">
        <v>416</v>
      </c>
      <c r="I8" s="1892">
        <v>1.44</v>
      </c>
      <c r="J8" s="1893">
        <v>1.5649999999999999</v>
      </c>
      <c r="K8" s="1893">
        <v>1.375</v>
      </c>
      <c r="L8" s="1893">
        <v>1.393</v>
      </c>
      <c r="M8" s="1893">
        <v>1.4650000000000001</v>
      </c>
      <c r="N8" s="1893">
        <v>1.4259999999999999</v>
      </c>
      <c r="O8" s="1893">
        <v>1.55</v>
      </c>
      <c r="P8" s="1893">
        <v>1.4910000000000001</v>
      </c>
      <c r="Q8" s="1894">
        <v>1.4159999999999999</v>
      </c>
      <c r="R8" s="1892">
        <v>1.534</v>
      </c>
      <c r="S8" s="1893">
        <v>1.464</v>
      </c>
      <c r="T8" s="1893">
        <v>1.415</v>
      </c>
      <c r="U8" s="1893">
        <v>1.4339999999999999</v>
      </c>
      <c r="V8" s="1895">
        <v>1.2969999999999999</v>
      </c>
      <c r="W8" s="1895">
        <v>1.3009999999999999</v>
      </c>
      <c r="X8" s="1895">
        <v>1.353</v>
      </c>
      <c r="Y8" s="1895">
        <v>1.5209999999999999</v>
      </c>
      <c r="Z8" s="1895">
        <v>1.5389999999999999</v>
      </c>
      <c r="AA8" s="1896">
        <v>1.53</v>
      </c>
      <c r="AB8" s="1896">
        <v>1.4179999999999999</v>
      </c>
      <c r="AC8" s="1897">
        <v>1.444</v>
      </c>
      <c r="AD8" s="1905">
        <v>1.28</v>
      </c>
      <c r="AE8" s="1895">
        <v>1.4390000000000001</v>
      </c>
      <c r="AF8" s="1895">
        <v>1.274</v>
      </c>
      <c r="AG8" s="1895">
        <v>1.4330000000000001</v>
      </c>
      <c r="AH8" s="1895">
        <v>1.0880000000000001</v>
      </c>
      <c r="AI8" s="1897">
        <v>1.3280000000000001</v>
      </c>
      <c r="AJ8" s="1877">
        <f t="shared" si="0"/>
        <v>16.646999999999998</v>
      </c>
      <c r="AK8" s="1899">
        <v>1.363</v>
      </c>
      <c r="AL8" s="1899">
        <v>1.2050000000000001</v>
      </c>
      <c r="AM8" s="1899">
        <v>1.4690000000000001</v>
      </c>
      <c r="AN8" s="1899">
        <v>1.359</v>
      </c>
      <c r="AO8" s="1899">
        <v>1.2889999999999999</v>
      </c>
      <c r="AP8" s="1899">
        <v>1.3420000000000001</v>
      </c>
      <c r="AQ8" s="1899">
        <v>1.476</v>
      </c>
      <c r="AR8" s="1883">
        <v>1.3009999999999999</v>
      </c>
      <c r="AS8" s="1883">
        <v>1.268</v>
      </c>
      <c r="AT8" s="1883">
        <v>1.4</v>
      </c>
      <c r="AU8" s="1883">
        <v>1.256</v>
      </c>
      <c r="AV8" s="1906">
        <v>1.254</v>
      </c>
      <c r="AW8" s="1907">
        <v>0.73299999999999998</v>
      </c>
      <c r="AX8" s="1907">
        <v>1.2050000000000001</v>
      </c>
      <c r="AY8" s="1907">
        <v>1.4730000000000001</v>
      </c>
      <c r="AZ8" s="1907">
        <v>1.3320000000000001</v>
      </c>
      <c r="BA8" s="1907">
        <v>1.3280000000000001</v>
      </c>
      <c r="BB8" s="1908">
        <v>1.431</v>
      </c>
      <c r="BC8" s="1909">
        <v>1.21</v>
      </c>
      <c r="BD8" s="1907">
        <v>1.21342857142857</v>
      </c>
      <c r="BE8" s="1907">
        <v>1.1895714285714301</v>
      </c>
      <c r="BF8" s="1910">
        <v>1.375</v>
      </c>
      <c r="BG8" s="2320">
        <v>1.121</v>
      </c>
      <c r="BH8" s="2321">
        <v>1.3064600000000064</v>
      </c>
      <c r="BI8" s="2321">
        <v>1.3583099999999999</v>
      </c>
      <c r="BJ8" s="2321">
        <v>1.3673500000000098</v>
      </c>
      <c r="BK8" s="2321">
        <v>0.85499999999999998</v>
      </c>
      <c r="BL8" s="2321">
        <v>0.85005999999999804</v>
      </c>
      <c r="BM8" s="2321">
        <v>0.91300000000000003</v>
      </c>
      <c r="BN8" s="2321">
        <v>0.83299999999999996</v>
      </c>
      <c r="BO8" s="2313">
        <v>0.83299999999999996</v>
      </c>
      <c r="BP8" s="2313">
        <v>0.67100000000000004</v>
      </c>
      <c r="BQ8" s="2318">
        <v>0.83099999999999996</v>
      </c>
      <c r="BR8" s="2319">
        <v>0.76300000000000001</v>
      </c>
      <c r="BS8" s="2596">
        <v>0.67900000000000005</v>
      </c>
      <c r="BT8" s="2596">
        <v>0.64</v>
      </c>
      <c r="BU8" s="2596">
        <v>0.63600000000000001</v>
      </c>
      <c r="BV8" s="2596">
        <f>+'01_MWh GENERACIÓN'!D112</f>
        <v>0.71299999999999997</v>
      </c>
      <c r="BW8" s="2596">
        <v>0.76700000000000002</v>
      </c>
      <c r="BX8" s="2596">
        <v>0.71299999999999997</v>
      </c>
      <c r="BY8" s="2397">
        <f t="shared" si="1"/>
        <v>18.121180000000017</v>
      </c>
      <c r="BZ8" s="1911"/>
      <c r="CA8" s="1889"/>
      <c r="CB8" s="1890"/>
    </row>
    <row r="9" spans="1:83">
      <c r="A9" s="2926"/>
      <c r="B9" s="2908"/>
      <c r="C9" s="2929"/>
      <c r="D9" s="2932"/>
      <c r="E9" s="2935"/>
      <c r="F9" s="2938"/>
      <c r="G9" s="2905"/>
      <c r="H9" s="1891" t="s">
        <v>411</v>
      </c>
      <c r="I9" s="1892">
        <v>2408.846</v>
      </c>
      <c r="J9" s="1893">
        <v>2217.1559999999999</v>
      </c>
      <c r="K9" s="1893">
        <v>1917.3979999999999</v>
      </c>
      <c r="L9" s="1893">
        <v>1919.482</v>
      </c>
      <c r="M9" s="1893">
        <v>1862.0940000000001</v>
      </c>
      <c r="N9" s="1893">
        <v>1756.9169999999999</v>
      </c>
      <c r="O9" s="1893">
        <v>1879.6679999999999</v>
      </c>
      <c r="P9" s="1893">
        <v>1899.35</v>
      </c>
      <c r="Q9" s="1894">
        <v>2202.0320000000002</v>
      </c>
      <c r="R9" s="1892">
        <v>2516.701</v>
      </c>
      <c r="S9" s="1893">
        <v>2530.9290000000001</v>
      </c>
      <c r="T9" s="1893">
        <v>2849.6030000000001</v>
      </c>
      <c r="U9" s="1893">
        <v>2727.9059999999999</v>
      </c>
      <c r="V9" s="1895">
        <v>2585.665</v>
      </c>
      <c r="W9" s="1895">
        <v>2225.5479999999998</v>
      </c>
      <c r="X9" s="1895">
        <v>2155.41</v>
      </c>
      <c r="Y9" s="1895">
        <v>2026.3989999999999</v>
      </c>
      <c r="Z9" s="1895">
        <v>1839.59</v>
      </c>
      <c r="AA9" s="1896">
        <v>1963.83</v>
      </c>
      <c r="AB9" s="1896">
        <v>2038.01</v>
      </c>
      <c r="AC9" s="1897">
        <v>2272.4630000000002</v>
      </c>
      <c r="AD9" s="1905">
        <v>2336.3180000000002</v>
      </c>
      <c r="AE9" s="1895">
        <v>2314.8609999999999</v>
      </c>
      <c r="AF9" s="1895">
        <v>2743.2249999999999</v>
      </c>
      <c r="AG9" s="1895">
        <v>2650.7530000000002</v>
      </c>
      <c r="AH9" s="1895">
        <v>2704.473</v>
      </c>
      <c r="AI9" s="1897">
        <v>2663.6390000000001</v>
      </c>
      <c r="AJ9" s="1877">
        <f t="shared" si="0"/>
        <v>27708.971000000001</v>
      </c>
      <c r="AK9" s="1899">
        <v>2239.0419999999999</v>
      </c>
      <c r="AL9" s="1899">
        <v>1888.2550000000001</v>
      </c>
      <c r="AM9" s="1899">
        <v>1833.4590000000001</v>
      </c>
      <c r="AN9" s="1899">
        <v>2023.347</v>
      </c>
      <c r="AO9" s="1899">
        <v>2048.2640000000001</v>
      </c>
      <c r="AP9" s="1899">
        <v>2446.9070000000002</v>
      </c>
      <c r="AQ9" s="1899">
        <v>2595.038</v>
      </c>
      <c r="AR9" s="1883">
        <v>2785.4949999999999</v>
      </c>
      <c r="AS9" s="1883">
        <v>3129.04</v>
      </c>
      <c r="AT9" s="1883">
        <v>2696.8649999999998</v>
      </c>
      <c r="AU9" s="1883">
        <v>2445.7719999999999</v>
      </c>
      <c r="AV9" s="1906">
        <v>2063.6189999999997</v>
      </c>
      <c r="AW9" s="1907">
        <v>1910.81969</v>
      </c>
      <c r="AX9" s="1907">
        <v>1694.7781299999997</v>
      </c>
      <c r="AY9" s="1907">
        <v>1688.3542419999997</v>
      </c>
      <c r="AZ9" s="1907">
        <v>1685.1669509999999</v>
      </c>
      <c r="BA9" s="1907">
        <v>1665.0741839999994</v>
      </c>
      <c r="BB9" s="1908">
        <v>2057.9570239999998</v>
      </c>
      <c r="BC9" s="1909">
        <v>2767.395528</v>
      </c>
      <c r="BD9" s="1907">
        <v>2866.3043140000009</v>
      </c>
      <c r="BE9" s="1907">
        <v>3213.5726199999999</v>
      </c>
      <c r="BF9" s="1910">
        <v>3016.5974589999996</v>
      </c>
      <c r="BG9" s="2320">
        <v>2620.17677</v>
      </c>
      <c r="BH9" s="2321">
        <v>1994.3008499999999</v>
      </c>
      <c r="BI9" s="2321">
        <v>2110.8573769999998</v>
      </c>
      <c r="BJ9" s="2321">
        <v>1765.584969</v>
      </c>
      <c r="BK9" s="2321">
        <v>1542.88546</v>
      </c>
      <c r="BL9" s="2321">
        <v>1824.076679</v>
      </c>
      <c r="BM9" s="2321">
        <v>1748.2031529999999</v>
      </c>
      <c r="BN9" s="2321">
        <v>2144.335611</v>
      </c>
      <c r="BO9" s="2313">
        <v>2737.6145780000002</v>
      </c>
      <c r="BP9" s="2313">
        <v>2760.342208</v>
      </c>
      <c r="BQ9" s="2318">
        <f>3139909.461/1000</f>
        <v>3139.9094610000002</v>
      </c>
      <c r="BR9" s="2319">
        <f>2852133.661/1000</f>
        <v>2852.1336609999998</v>
      </c>
      <c r="BS9" s="2596">
        <v>2918.3097269999998</v>
      </c>
      <c r="BT9" s="2596">
        <v>2231.0353319999999</v>
      </c>
      <c r="BU9" s="2596">
        <v>2113.41</v>
      </c>
      <c r="BV9" s="2596">
        <f>+'01_MWh GENERACIÓN'!E112</f>
        <v>1878.9975030000001</v>
      </c>
      <c r="BW9" s="2596">
        <v>1962.7204690000001</v>
      </c>
      <c r="BX9" s="2596">
        <v>1878.9975030000001</v>
      </c>
      <c r="BY9" s="2397">
        <f t="shared" si="1"/>
        <v>41162.247722</v>
      </c>
      <c r="BZ9" s="1911"/>
      <c r="CA9" s="1889"/>
      <c r="CB9" s="1890"/>
      <c r="CC9" s="1890"/>
      <c r="CD9" s="1890"/>
      <c r="CE9" s="1890"/>
    </row>
    <row r="10" spans="1:83">
      <c r="A10" s="2926"/>
      <c r="B10" s="2908"/>
      <c r="C10" s="2929"/>
      <c r="D10" s="2932"/>
      <c r="E10" s="2935"/>
      <c r="F10" s="2938"/>
      <c r="G10" s="2905"/>
      <c r="H10" s="1891" t="s">
        <v>412</v>
      </c>
      <c r="I10" s="1892"/>
      <c r="J10" s="1893"/>
      <c r="K10" s="1893"/>
      <c r="L10" s="1893"/>
      <c r="M10" s="1893"/>
      <c r="N10" s="1893"/>
      <c r="O10" s="1893"/>
      <c r="P10" s="1893"/>
      <c r="Q10" s="1894"/>
      <c r="R10" s="1892"/>
      <c r="S10" s="1893"/>
      <c r="T10" s="1893"/>
      <c r="U10" s="1893"/>
      <c r="V10" s="1895">
        <v>5.4180000000000001</v>
      </c>
      <c r="W10" s="1895">
        <v>141.80000000000001</v>
      </c>
      <c r="X10" s="1895">
        <v>143.49120000000002</v>
      </c>
      <c r="Y10" s="1895">
        <v>174.4477</v>
      </c>
      <c r="Z10" s="1895">
        <v>172.96289999999999</v>
      </c>
      <c r="AA10" s="1896">
        <v>181.62110000000001</v>
      </c>
      <c r="AB10" s="1896">
        <v>178.02797999999999</v>
      </c>
      <c r="AC10" s="1897">
        <v>158.33670000000001</v>
      </c>
      <c r="AD10" s="1905">
        <v>203.40789999999998</v>
      </c>
      <c r="AE10" s="1895">
        <v>198.2456</v>
      </c>
      <c r="AF10" s="1895">
        <v>234.19739999999999</v>
      </c>
      <c r="AG10" s="1895">
        <v>212.17599999999999</v>
      </c>
      <c r="AH10" s="1895">
        <v>153.01259999999999</v>
      </c>
      <c r="AI10" s="1897">
        <v>151.3963</v>
      </c>
      <c r="AJ10" s="1877">
        <f t="shared" si="0"/>
        <v>2161.3233799999998</v>
      </c>
      <c r="AK10" s="1899">
        <v>141.45820000000001</v>
      </c>
      <c r="AL10" s="1899">
        <v>162.8537</v>
      </c>
      <c r="AM10" s="1899">
        <v>150.6576</v>
      </c>
      <c r="AN10" s="1899">
        <v>151.102</v>
      </c>
      <c r="AO10" s="1899">
        <v>125.733</v>
      </c>
      <c r="AP10" s="1899">
        <v>126.252</v>
      </c>
      <c r="AQ10" s="1899">
        <v>161.97800000000001</v>
      </c>
      <c r="AR10" s="1883">
        <v>181.99199999999999</v>
      </c>
      <c r="AS10" s="1883">
        <v>199.846</v>
      </c>
      <c r="AT10" s="1883">
        <v>187.28299999999999</v>
      </c>
      <c r="AU10" s="1883">
        <v>159.274</v>
      </c>
      <c r="AV10" s="1906">
        <v>144.24799999999999</v>
      </c>
      <c r="AW10" s="1907">
        <v>127.48410000000001</v>
      </c>
      <c r="AX10" s="1907">
        <v>145.8509</v>
      </c>
      <c r="AY10" s="1907">
        <v>161.161</v>
      </c>
      <c r="AZ10" s="1907">
        <v>208.38900000000001</v>
      </c>
      <c r="BA10" s="1907">
        <v>207.74700000000001</v>
      </c>
      <c r="BB10" s="1908">
        <v>201.029</v>
      </c>
      <c r="BC10" s="1909">
        <v>219.779</v>
      </c>
      <c r="BD10" s="1907">
        <v>261.54039285714299</v>
      </c>
      <c r="BE10" s="1907">
        <v>212.76310714285702</v>
      </c>
      <c r="BF10" s="1910">
        <v>242.89500000000001</v>
      </c>
      <c r="BG10" s="2320">
        <v>221.37260000000001</v>
      </c>
      <c r="BH10" s="2321">
        <v>181.28800000000001</v>
      </c>
      <c r="BI10" s="2321">
        <v>168.70599999999999</v>
      </c>
      <c r="BJ10" s="2321">
        <v>180.90600000000001</v>
      </c>
      <c r="BK10" s="2321">
        <v>189.18370000000002</v>
      </c>
      <c r="BL10" s="2321">
        <v>176.773</v>
      </c>
      <c r="BM10" s="2321">
        <v>184.61799999999999</v>
      </c>
      <c r="BN10" s="2321">
        <v>174.91200000000001</v>
      </c>
      <c r="BO10" s="2313">
        <v>217.68</v>
      </c>
      <c r="BP10" s="2313">
        <v>196.61099999999999</v>
      </c>
      <c r="BQ10" s="2318">
        <f>(263118.8+10363)/1000</f>
        <v>273.48179999999996</v>
      </c>
      <c r="BR10" s="2319">
        <f>(254712+ 10989.72)/1000</f>
        <v>265.70171999999997</v>
      </c>
      <c r="BS10" s="2596">
        <v>190.01527999999999</v>
      </c>
      <c r="BT10" s="2596">
        <v>134.721</v>
      </c>
      <c r="BU10" s="2596">
        <v>162.22200000000001</v>
      </c>
      <c r="BV10" s="2596">
        <f>+'01_MWh GENERACIÓN'!F112</f>
        <v>167.93600000000001</v>
      </c>
      <c r="BW10" s="2596">
        <v>179.00299999999999</v>
      </c>
      <c r="BX10" s="2596">
        <v>167.93600000000001</v>
      </c>
      <c r="BY10" s="2397">
        <f t="shared" si="1"/>
        <v>3569.2403199999994</v>
      </c>
      <c r="BZ10" s="1911"/>
      <c r="CA10" s="1889"/>
      <c r="CB10" s="1890"/>
      <c r="CC10" s="1890"/>
      <c r="CD10" s="1890"/>
      <c r="CE10" s="1890"/>
    </row>
    <row r="11" spans="1:83">
      <c r="A11" s="2926"/>
      <c r="B11" s="2908"/>
      <c r="C11" s="2929"/>
      <c r="D11" s="2932"/>
      <c r="E11" s="2935"/>
      <c r="F11" s="2938"/>
      <c r="G11" s="2905"/>
      <c r="H11" s="1891" t="s">
        <v>413</v>
      </c>
      <c r="I11" s="1892"/>
      <c r="J11" s="1893"/>
      <c r="K11" s="1893"/>
      <c r="L11" s="1893"/>
      <c r="M11" s="1893"/>
      <c r="N11" s="1893"/>
      <c r="O11" s="1893"/>
      <c r="P11" s="1893"/>
      <c r="Q11" s="1894"/>
      <c r="R11" s="1892"/>
      <c r="S11" s="1893"/>
      <c r="T11" s="1893"/>
      <c r="U11" s="1893"/>
      <c r="V11" s="1895"/>
      <c r="W11" s="1895"/>
      <c r="X11" s="1895"/>
      <c r="Y11" s="1895"/>
      <c r="Z11" s="1895"/>
      <c r="AA11" s="1896"/>
      <c r="AB11" s="1896"/>
      <c r="AC11" s="1897">
        <v>82.962000000000003</v>
      </c>
      <c r="AD11" s="1905">
        <v>111.56410000000001</v>
      </c>
      <c r="AE11" s="1895">
        <v>158.33655000000002</v>
      </c>
      <c r="AF11" s="1895">
        <v>94.88897</v>
      </c>
      <c r="AG11" s="1895">
        <v>95.174770999999993</v>
      </c>
      <c r="AH11" s="1895">
        <v>0</v>
      </c>
      <c r="AI11" s="1897">
        <v>17.714569999999998</v>
      </c>
      <c r="AJ11" s="1877">
        <f t="shared" si="0"/>
        <v>560.64096099999995</v>
      </c>
      <c r="AK11" s="1899">
        <v>445.44900000000001</v>
      </c>
      <c r="AL11" s="1899">
        <v>432.76165000000003</v>
      </c>
      <c r="AM11" s="1899">
        <v>359.59921264648438</v>
      </c>
      <c r="AN11" s="1899">
        <v>352.44574999999998</v>
      </c>
      <c r="AO11" s="1899">
        <v>440.18524169921875</v>
      </c>
      <c r="AP11" s="1899">
        <v>439.04364013671852</v>
      </c>
      <c r="AQ11" s="1899">
        <v>365.93990000000002</v>
      </c>
      <c r="AR11" s="1883">
        <v>198.58435058593699</v>
      </c>
      <c r="AS11" s="1883">
        <v>67.99658203125</v>
      </c>
      <c r="AT11" s="1883">
        <v>172.1220703125</v>
      </c>
      <c r="AU11" s="1883">
        <v>335.5067138671875</v>
      </c>
      <c r="AV11" s="1906">
        <v>400.01770019531205</v>
      </c>
      <c r="AW11" s="1907">
        <v>437.06396484375</v>
      </c>
      <c r="AX11" s="1907">
        <v>511.2203369140625</v>
      </c>
      <c r="AY11" s="1907">
        <v>477.237548828125</v>
      </c>
      <c r="AZ11" s="1907">
        <v>526.06700000000001</v>
      </c>
      <c r="BA11" s="1907">
        <v>531.84375</v>
      </c>
      <c r="BB11" s="1908">
        <v>510.92197218749999</v>
      </c>
      <c r="BC11" s="1909">
        <v>141.428955078125</v>
      </c>
      <c r="BD11" s="1907">
        <v>65.561723981584805</v>
      </c>
      <c r="BE11" s="1907">
        <v>35.278852190290202</v>
      </c>
      <c r="BF11" s="1910">
        <v>156.61229999999998</v>
      </c>
      <c r="BG11" s="2320">
        <v>438.14951125000005</v>
      </c>
      <c r="BH11" s="2321">
        <v>545.13916015625</v>
      </c>
      <c r="BI11" s="2321">
        <v>332.4462890625</v>
      </c>
      <c r="BJ11" s="2321">
        <v>592.11500000000001</v>
      </c>
      <c r="BK11" s="2321">
        <v>592.58799999999997</v>
      </c>
      <c r="BL11" s="2321">
        <v>459.2626953125</v>
      </c>
      <c r="BM11" s="2321">
        <v>512.63874999999996</v>
      </c>
      <c r="BN11" s="2321">
        <v>366.08740230000001</v>
      </c>
      <c r="BO11" s="2313">
        <v>118.07546000000001</v>
      </c>
      <c r="BP11" s="2313">
        <v>79.876000000000005</v>
      </c>
      <c r="BQ11" s="2318">
        <f>108892.593/1000</f>
        <v>108.89259299999999</v>
      </c>
      <c r="BR11" s="2319">
        <f>84774/1000</f>
        <v>84.774000000000001</v>
      </c>
      <c r="BS11" s="2596">
        <v>177.68199999999999</v>
      </c>
      <c r="BT11" s="2596">
        <v>318.56599999999997</v>
      </c>
      <c r="BU11" s="2596">
        <v>476.48899999999998</v>
      </c>
      <c r="BV11" s="2596">
        <f>+'01_MWh GENERACIÓN'!G112</f>
        <v>445.3</v>
      </c>
      <c r="BW11" s="2596">
        <v>511.05500000000001</v>
      </c>
      <c r="BX11" s="2596">
        <v>445.3</v>
      </c>
      <c r="BY11" s="2397">
        <f t="shared" si="1"/>
        <v>5139.8486645187495</v>
      </c>
      <c r="BZ11" s="1911"/>
      <c r="CA11" s="1889"/>
      <c r="CB11" s="1890"/>
      <c r="CC11" s="1890"/>
      <c r="CD11" s="1890"/>
      <c r="CE11" s="1890"/>
    </row>
    <row r="12" spans="1:83">
      <c r="A12" s="2926"/>
      <c r="B12" s="2908"/>
      <c r="C12" s="2929"/>
      <c r="D12" s="2932"/>
      <c r="E12" s="2935"/>
      <c r="F12" s="2938"/>
      <c r="G12" s="2905"/>
      <c r="H12" s="1891" t="s">
        <v>417</v>
      </c>
      <c r="I12" s="1892">
        <v>381.11900000000003</v>
      </c>
      <c r="J12" s="1893">
        <v>322.78399999999999</v>
      </c>
      <c r="K12" s="1893">
        <v>271.33199999999999</v>
      </c>
      <c r="L12" s="1893">
        <v>274.04199999999997</v>
      </c>
      <c r="M12" s="1893">
        <v>266.97899999999998</v>
      </c>
      <c r="N12" s="1893">
        <v>254.90600000000001</v>
      </c>
      <c r="O12" s="1893">
        <v>271.49299999999999</v>
      </c>
      <c r="P12" s="1893">
        <v>278.57299999999998</v>
      </c>
      <c r="Q12" s="1894">
        <v>327.35199999999998</v>
      </c>
      <c r="R12" s="1892">
        <v>383.22899999999998</v>
      </c>
      <c r="S12" s="1893">
        <v>392.55500000000001</v>
      </c>
      <c r="T12" s="1893">
        <v>450.197</v>
      </c>
      <c r="U12" s="1893">
        <v>418.60500000000002</v>
      </c>
      <c r="V12" s="1895">
        <v>396.39600000000002</v>
      </c>
      <c r="W12" s="1895">
        <v>352.10300000000001</v>
      </c>
      <c r="X12" s="1895">
        <v>353.36399999999998</v>
      </c>
      <c r="Y12" s="1895">
        <v>330.04</v>
      </c>
      <c r="Z12" s="1895">
        <v>299.68200000000002</v>
      </c>
      <c r="AA12" s="1896">
        <v>325.447</v>
      </c>
      <c r="AB12" s="1896">
        <v>335.44200000000001</v>
      </c>
      <c r="AC12" s="1897">
        <v>374.77499999999998</v>
      </c>
      <c r="AD12" s="1905">
        <v>399.31799999999998</v>
      </c>
      <c r="AE12" s="1895">
        <v>387.43400000000003</v>
      </c>
      <c r="AF12" s="1895">
        <v>448.94400000000002</v>
      </c>
      <c r="AG12" s="1895">
        <v>441.11500000000001</v>
      </c>
      <c r="AH12" s="1895">
        <v>422.899</v>
      </c>
      <c r="AI12" s="1897">
        <v>413.947</v>
      </c>
      <c r="AJ12" s="1877">
        <f t="shared" si="0"/>
        <v>4532.4070000000011</v>
      </c>
      <c r="AK12" s="1899">
        <v>411.91</v>
      </c>
      <c r="AL12" s="1899">
        <v>355.72</v>
      </c>
      <c r="AM12" s="1899">
        <v>337.98</v>
      </c>
      <c r="AN12" s="1899">
        <v>373.6</v>
      </c>
      <c r="AO12" s="1899">
        <v>415.56200000000001</v>
      </c>
      <c r="AP12" s="1899">
        <v>476.85</v>
      </c>
      <c r="AQ12" s="1899">
        <v>482.06</v>
      </c>
      <c r="AR12" s="1883">
        <v>487.55</v>
      </c>
      <c r="AS12" s="1883">
        <v>547.60500000000002</v>
      </c>
      <c r="AT12" s="1883">
        <v>475.24799999999999</v>
      </c>
      <c r="AU12" s="1883">
        <v>447.03699999999998</v>
      </c>
      <c r="AV12" s="1906">
        <v>388.34999999999997</v>
      </c>
      <c r="AW12" s="1907">
        <v>369.48</v>
      </c>
      <c r="AX12" s="1907">
        <v>364.77942000000002</v>
      </c>
      <c r="AY12" s="1907">
        <v>348.79266099999995</v>
      </c>
      <c r="AZ12" s="1907">
        <v>342.93370799999997</v>
      </c>
      <c r="BA12" s="1907">
        <v>341.86888099999999</v>
      </c>
      <c r="BB12" s="1908">
        <v>399.35574999999989</v>
      </c>
      <c r="BC12" s="1909">
        <v>463.59052599999995</v>
      </c>
      <c r="BD12" s="1907">
        <v>487.28092900000013</v>
      </c>
      <c r="BE12" s="1907">
        <v>546.94759499999998</v>
      </c>
      <c r="BF12" s="1910">
        <v>537.11917499999993</v>
      </c>
      <c r="BG12" s="2320">
        <v>496.00701200000003</v>
      </c>
      <c r="BH12" s="2321">
        <v>418.07876900000008</v>
      </c>
      <c r="BI12" s="2321">
        <v>406.50451299999997</v>
      </c>
      <c r="BJ12" s="2321">
        <v>386.17142000000001</v>
      </c>
      <c r="BK12" s="2321">
        <v>356.031925</v>
      </c>
      <c r="BL12" s="2321">
        <v>371.32552500000003</v>
      </c>
      <c r="BM12" s="2321">
        <v>375.82646299999999</v>
      </c>
      <c r="BN12" s="2321">
        <v>411.16578900000002</v>
      </c>
      <c r="BO12" s="2313">
        <v>491.63327500000003</v>
      </c>
      <c r="BP12" s="2313">
        <v>497.68510900000001</v>
      </c>
      <c r="BQ12" s="2318">
        <f>618082.024/1000</f>
        <v>618.08202399999993</v>
      </c>
      <c r="BR12" s="2319">
        <f>555228.046/1000</f>
        <v>555.22804599999995</v>
      </c>
      <c r="BS12" s="2596">
        <v>515.98918600000002</v>
      </c>
      <c r="BT12" s="2596">
        <v>368.38443199999995</v>
      </c>
      <c r="BU12" s="2596">
        <v>463.42</v>
      </c>
      <c r="BV12" s="2596">
        <f>+'01_MWh GENERACIÓN'!H112</f>
        <v>339.73899999999998</v>
      </c>
      <c r="BW12" s="2596">
        <v>439.49607099999997</v>
      </c>
      <c r="BX12" s="2596">
        <v>339.73899999999998</v>
      </c>
      <c r="BY12" s="2397">
        <f t="shared" si="1"/>
        <v>7818.0338450000008</v>
      </c>
      <c r="BZ12" s="1911"/>
      <c r="CA12" s="1889"/>
      <c r="CB12" s="1890"/>
      <c r="CC12" s="1890"/>
      <c r="CD12" s="1890"/>
      <c r="CE12" s="1890"/>
    </row>
    <row r="13" spans="1:83">
      <c r="A13" s="2926"/>
      <c r="B13" s="2908"/>
      <c r="C13" s="2929"/>
      <c r="D13" s="2932"/>
      <c r="E13" s="2935"/>
      <c r="F13" s="2938"/>
      <c r="G13" s="2905"/>
      <c r="H13" s="1891" t="s">
        <v>858</v>
      </c>
      <c r="I13" s="1892"/>
      <c r="J13" s="1893"/>
      <c r="K13" s="1893"/>
      <c r="L13" s="1893"/>
      <c r="M13" s="1893"/>
      <c r="N13" s="1893"/>
      <c r="O13" s="1893"/>
      <c r="P13" s="1893"/>
      <c r="Q13" s="1894"/>
      <c r="R13" s="1892"/>
      <c r="S13" s="1893"/>
      <c r="T13" s="1893"/>
      <c r="U13" s="1893"/>
      <c r="V13" s="1895"/>
      <c r="W13" s="1895"/>
      <c r="X13" s="1895"/>
      <c r="Y13" s="1895"/>
      <c r="Z13" s="1895"/>
      <c r="AA13" s="1896"/>
      <c r="AB13" s="1896"/>
      <c r="AC13" s="1897"/>
      <c r="AD13" s="1905"/>
      <c r="AE13" s="1895"/>
      <c r="AF13" s="1895"/>
      <c r="AG13" s="1895"/>
      <c r="AH13" s="1895"/>
      <c r="AI13" s="1897"/>
      <c r="AJ13" s="1877"/>
      <c r="AK13" s="1899"/>
      <c r="AL13" s="1899"/>
      <c r="AM13" s="1899"/>
      <c r="AN13" s="1899"/>
      <c r="AO13" s="1899"/>
      <c r="AP13" s="1899"/>
      <c r="AQ13" s="1899"/>
      <c r="AR13" s="1883"/>
      <c r="AS13" s="1883"/>
      <c r="AT13" s="1883"/>
      <c r="AU13" s="1883"/>
      <c r="AV13" s="1906"/>
      <c r="AW13" s="1907"/>
      <c r="AX13" s="1907"/>
      <c r="AY13" s="1907"/>
      <c r="AZ13" s="1907"/>
      <c r="BA13" s="1907"/>
      <c r="BB13" s="1908"/>
      <c r="BC13" s="1909"/>
      <c r="BD13" s="1907"/>
      <c r="BE13" s="1907"/>
      <c r="BF13" s="1910"/>
      <c r="BG13" s="2320"/>
      <c r="BH13" s="2321"/>
      <c r="BI13" s="2321"/>
      <c r="BJ13" s="2321"/>
      <c r="BK13" s="2321"/>
      <c r="BL13" s="2321"/>
      <c r="BM13" s="2321"/>
      <c r="BN13" s="2321"/>
      <c r="BO13" s="2313"/>
      <c r="BP13" s="2313"/>
      <c r="BQ13" s="2318"/>
      <c r="BR13" s="2319">
        <v>0</v>
      </c>
      <c r="BS13" s="2596">
        <v>0</v>
      </c>
      <c r="BT13" s="2596">
        <v>5.8140000000000001</v>
      </c>
      <c r="BU13" s="2596">
        <v>0</v>
      </c>
      <c r="BV13" s="2596"/>
      <c r="BW13" s="2596">
        <v>2.7469999999999999</v>
      </c>
      <c r="BX13" s="2596">
        <v>23.258776999999998</v>
      </c>
      <c r="BY13" s="2397"/>
      <c r="BZ13" s="1911"/>
      <c r="CA13" s="1889"/>
      <c r="CB13" s="1890"/>
      <c r="CC13" s="1890"/>
      <c r="CD13" s="1890"/>
      <c r="CE13" s="1890"/>
    </row>
    <row r="14" spans="1:83">
      <c r="A14" s="2926"/>
      <c r="B14" s="2908"/>
      <c r="C14" s="2929"/>
      <c r="D14" s="2932"/>
      <c r="E14" s="2935"/>
      <c r="F14" s="2938"/>
      <c r="G14" s="2905"/>
      <c r="H14" s="1891" t="s">
        <v>418</v>
      </c>
      <c r="I14" s="1892">
        <v>15.590999999999999</v>
      </c>
      <c r="J14" s="1893">
        <v>14.089</v>
      </c>
      <c r="K14" s="1893">
        <v>13.323</v>
      </c>
      <c r="L14" s="1893">
        <v>14.0495</v>
      </c>
      <c r="M14" s="1893">
        <v>6.9969999999999999</v>
      </c>
      <c r="N14" s="1893">
        <v>6.82775</v>
      </c>
      <c r="O14" s="1893">
        <v>7.5525000000000002</v>
      </c>
      <c r="P14" s="1893">
        <v>6.8505000000000003</v>
      </c>
      <c r="Q14" s="1894">
        <v>7.0202499999999999</v>
      </c>
      <c r="R14" s="1892">
        <v>6.8345000000000002</v>
      </c>
      <c r="S14" s="1893">
        <v>22.613250000000001</v>
      </c>
      <c r="T14" s="1893">
        <v>25.427</v>
      </c>
      <c r="U14" s="1893">
        <v>26.111000000000001</v>
      </c>
      <c r="V14" s="1895">
        <v>26.218</v>
      </c>
      <c r="W14" s="1895">
        <v>17.645</v>
      </c>
      <c r="X14" s="1895">
        <v>17.472000000000001</v>
      </c>
      <c r="Y14" s="1895">
        <v>18.419</v>
      </c>
      <c r="Z14" s="1895">
        <v>11.7075</v>
      </c>
      <c r="AA14" s="1896">
        <v>8.7477499999999999</v>
      </c>
      <c r="AB14" s="1896">
        <v>6.7177499999999997</v>
      </c>
      <c r="AC14" s="1897">
        <v>9.4819999999999993</v>
      </c>
      <c r="AD14" s="1905">
        <v>9.6549999999999994</v>
      </c>
      <c r="AE14" s="1895">
        <v>11.058</v>
      </c>
      <c r="AF14" s="1895">
        <v>14.135549999999999</v>
      </c>
      <c r="AG14" s="1895">
        <v>14.023099999999998</v>
      </c>
      <c r="AH14" s="1895">
        <v>14.595699999999999</v>
      </c>
      <c r="AI14" s="1897">
        <v>13.781599999999999</v>
      </c>
      <c r="AJ14" s="1877">
        <f t="shared" si="0"/>
        <v>149.79494999999997</v>
      </c>
      <c r="AK14" s="1899">
        <v>19.001999999999999</v>
      </c>
      <c r="AL14" s="1899">
        <v>17.495000000000001</v>
      </c>
      <c r="AM14" s="1899">
        <v>16.695</v>
      </c>
      <c r="AN14" s="1899">
        <v>14.252000000000001</v>
      </c>
      <c r="AO14" s="1899">
        <v>10.840999999999999</v>
      </c>
      <c r="AP14" s="1899">
        <v>11.932499999999999</v>
      </c>
      <c r="AQ14" s="1899">
        <v>15.961499999999999</v>
      </c>
      <c r="AR14" s="1883">
        <v>13.061500000000001</v>
      </c>
      <c r="AS14" s="1883">
        <v>13.35</v>
      </c>
      <c r="AT14" s="1883">
        <v>16.3035</v>
      </c>
      <c r="AU14" s="1883">
        <v>20.065999999999999</v>
      </c>
      <c r="AV14" s="1906">
        <v>18.429999999999996</v>
      </c>
      <c r="AW14" s="1907">
        <v>19.465</v>
      </c>
      <c r="AX14" s="1907">
        <v>18.736395000000002</v>
      </c>
      <c r="AY14" s="1907">
        <v>17.888998000000004</v>
      </c>
      <c r="AZ14" s="1907">
        <v>17.338600999999997</v>
      </c>
      <c r="BA14" s="1907">
        <v>17.455166000000002</v>
      </c>
      <c r="BB14" s="1908">
        <v>19.412783000000001</v>
      </c>
      <c r="BC14" s="1909">
        <v>19.208224999999999</v>
      </c>
      <c r="BD14" s="1907">
        <v>19.321899000000002</v>
      </c>
      <c r="BE14" s="1907">
        <v>21.933722000000003</v>
      </c>
      <c r="BF14" s="1910">
        <v>20.977177000000001</v>
      </c>
      <c r="BG14" s="2320">
        <v>20.417306</v>
      </c>
      <c r="BH14" s="2321">
        <v>18.771018999999999</v>
      </c>
      <c r="BI14" s="2321">
        <v>20.03201</v>
      </c>
      <c r="BJ14" s="2321">
        <v>20.062145000000001</v>
      </c>
      <c r="BK14" s="2321">
        <v>17.75779</v>
      </c>
      <c r="BL14" s="2321">
        <v>20.371577000000002</v>
      </c>
      <c r="BM14" s="2321">
        <v>20.062155999999998</v>
      </c>
      <c r="BN14" s="2321">
        <v>21.183640999999998</v>
      </c>
      <c r="BO14" s="2313">
        <v>22.523489000000001</v>
      </c>
      <c r="BP14" s="2313">
        <v>23.597280999999999</v>
      </c>
      <c r="BQ14" s="2322">
        <f>26958.552/1000</f>
        <v>26.958552000000001</v>
      </c>
      <c r="BR14" s="2323">
        <f>20598.675/1000</f>
        <v>20.598675</v>
      </c>
      <c r="BS14" s="2597">
        <v>24.765730999999999</v>
      </c>
      <c r="BT14" s="2597">
        <v>22.950056</v>
      </c>
      <c r="BU14" s="2597">
        <v>24.369</v>
      </c>
      <c r="BV14" s="2597">
        <f>+'01_MWh GENERACIÓN'!J112</f>
        <v>21.293702</v>
      </c>
      <c r="BW14" s="2597">
        <v>23.258776999999998</v>
      </c>
      <c r="BX14" s="2597">
        <v>21.293702</v>
      </c>
      <c r="BY14" s="2397">
        <f>SUM(BB14:BR14)</f>
        <v>353.18944699999997</v>
      </c>
      <c r="BZ14" s="1911"/>
      <c r="CA14" s="1889"/>
      <c r="CB14" s="1890"/>
      <c r="CC14" s="1890"/>
      <c r="CD14" s="1890"/>
      <c r="CE14" s="1890"/>
    </row>
    <row r="15" spans="1:83">
      <c r="A15" s="2926"/>
      <c r="B15" s="2908"/>
      <c r="C15" s="2929"/>
      <c r="D15" s="2932"/>
      <c r="E15" s="2935"/>
      <c r="F15" s="2938"/>
      <c r="G15" s="2905"/>
      <c r="H15" s="1891" t="s">
        <v>421</v>
      </c>
      <c r="I15" s="1892">
        <v>15.590999999999999</v>
      </c>
      <c r="J15" s="1893">
        <v>14.823</v>
      </c>
      <c r="K15" s="1893">
        <v>13.323</v>
      </c>
      <c r="L15" s="1893">
        <v>14.0495</v>
      </c>
      <c r="M15" s="1893">
        <v>20.991</v>
      </c>
      <c r="N15" s="1893">
        <v>20.483250000000002</v>
      </c>
      <c r="O15" s="1893">
        <v>21.311250000000001</v>
      </c>
      <c r="P15" s="1893">
        <v>20.578499999999998</v>
      </c>
      <c r="Q15" s="1894">
        <v>21.049250000000001</v>
      </c>
      <c r="R15" s="1892">
        <v>20.503499999999999</v>
      </c>
      <c r="S15" s="1893">
        <v>1.34775</v>
      </c>
      <c r="T15" s="1893">
        <v>0</v>
      </c>
      <c r="U15" s="1893">
        <v>0</v>
      </c>
      <c r="V15" s="1895">
        <v>0</v>
      </c>
      <c r="W15" s="1895">
        <v>0</v>
      </c>
      <c r="X15" s="1895">
        <v>0</v>
      </c>
      <c r="Y15" s="1895">
        <v>0</v>
      </c>
      <c r="Z15" s="1895">
        <v>3.9024999999999999</v>
      </c>
      <c r="AA15" s="1896">
        <v>4.9802499999999998</v>
      </c>
      <c r="AB15" s="1896">
        <v>8.4822500000000005</v>
      </c>
      <c r="AC15" s="1897">
        <v>9.4819999999999993</v>
      </c>
      <c r="AD15" s="1905">
        <v>9.6549999999999994</v>
      </c>
      <c r="AE15" s="1895">
        <v>6.7590000000000003</v>
      </c>
      <c r="AF15" s="1895">
        <v>5.969450000000001</v>
      </c>
      <c r="AG15" s="1895">
        <v>6.0099000000000009</v>
      </c>
      <c r="AH15" s="1895">
        <v>6.255300000000001</v>
      </c>
      <c r="AI15" s="1897">
        <v>5.9064000000000014</v>
      </c>
      <c r="AJ15" s="1877">
        <f t="shared" si="0"/>
        <v>67.402050000000003</v>
      </c>
      <c r="AK15" s="1899">
        <v>0</v>
      </c>
      <c r="AL15" s="1899">
        <v>0</v>
      </c>
      <c r="AM15" s="1899">
        <v>0</v>
      </c>
      <c r="AN15" s="1899">
        <v>3.1259999999999999</v>
      </c>
      <c r="AO15" s="1899">
        <v>7.2770000000000001</v>
      </c>
      <c r="AP15" s="1899">
        <v>8.3804999999999996</v>
      </c>
      <c r="AQ15" s="1899">
        <v>5.7134999999999998</v>
      </c>
      <c r="AR15" s="1883">
        <v>6.4035000000000002</v>
      </c>
      <c r="AS15" s="1883">
        <v>7.2619999999999996</v>
      </c>
      <c r="AT15" s="1883">
        <v>4.2445000000000004</v>
      </c>
      <c r="AU15" s="1883">
        <v>0</v>
      </c>
      <c r="AV15" s="1906">
        <v>0</v>
      </c>
      <c r="AW15" s="1907">
        <v>0</v>
      </c>
      <c r="AX15" s="1907">
        <v>0</v>
      </c>
      <c r="AY15" s="1907">
        <v>0</v>
      </c>
      <c r="AZ15" s="1907">
        <v>0</v>
      </c>
      <c r="BA15" s="1907">
        <v>0</v>
      </c>
      <c r="BB15" s="1908">
        <v>0</v>
      </c>
      <c r="BC15" s="1909">
        <v>0</v>
      </c>
      <c r="BD15" s="1907">
        <v>0</v>
      </c>
      <c r="BE15" s="1907">
        <v>0</v>
      </c>
      <c r="BF15" s="1910">
        <v>0</v>
      </c>
      <c r="BG15" s="2320"/>
      <c r="BH15" s="2321"/>
      <c r="BI15" s="2321">
        <v>0</v>
      </c>
      <c r="BJ15" s="2321">
        <v>0</v>
      </c>
      <c r="BK15" s="2321">
        <v>0</v>
      </c>
      <c r="BL15" s="2321">
        <v>0</v>
      </c>
      <c r="BM15" s="2321">
        <v>0</v>
      </c>
      <c r="BN15" s="2321">
        <v>0</v>
      </c>
      <c r="BO15" s="2313">
        <v>0</v>
      </c>
      <c r="BP15" s="2313"/>
      <c r="BQ15" s="2322"/>
      <c r="BR15" s="2323">
        <v>0</v>
      </c>
      <c r="BS15" s="2597">
        <v>0</v>
      </c>
      <c r="BT15" s="2597">
        <v>0</v>
      </c>
      <c r="BU15" s="2597">
        <v>0</v>
      </c>
      <c r="BV15" s="2597"/>
      <c r="BW15" s="2597"/>
      <c r="BX15" s="2597"/>
      <c r="BY15" s="2397">
        <f>SUM(BB15:BR15)</f>
        <v>0</v>
      </c>
      <c r="BZ15" s="1911"/>
      <c r="CA15" s="1889"/>
      <c r="CB15" s="1890"/>
      <c r="CC15" s="1890"/>
      <c r="CD15" s="1890"/>
      <c r="CE15" s="1890"/>
    </row>
    <row r="16" spans="1:83" ht="13.5" thickBot="1">
      <c r="A16" s="2926"/>
      <c r="B16" s="2908"/>
      <c r="C16" s="2929"/>
      <c r="D16" s="2932"/>
      <c r="E16" s="2935"/>
      <c r="F16" s="2938"/>
      <c r="G16" s="2905"/>
      <c r="H16" s="1914" t="s">
        <v>419</v>
      </c>
      <c r="I16" s="1915"/>
      <c r="J16" s="1916"/>
      <c r="K16" s="1916"/>
      <c r="L16" s="1916"/>
      <c r="M16" s="1916"/>
      <c r="N16" s="1916"/>
      <c r="O16" s="1916"/>
      <c r="P16" s="1916"/>
      <c r="Q16" s="1917"/>
      <c r="R16" s="1915"/>
      <c r="S16" s="1916"/>
      <c r="T16" s="1916"/>
      <c r="U16" s="1916"/>
      <c r="V16" s="1918"/>
      <c r="W16" s="1918">
        <v>5.7299999999999997E-2</v>
      </c>
      <c r="X16" s="1918">
        <v>0.33352999999999999</v>
      </c>
      <c r="Y16" s="1919">
        <v>0.26</v>
      </c>
      <c r="Z16" s="1918">
        <v>0.55300000000000005</v>
      </c>
      <c r="AA16" s="1920">
        <v>0.58465000000000011</v>
      </c>
      <c r="AB16" s="1921">
        <v>0.54200499999999996</v>
      </c>
      <c r="AC16" s="1922">
        <v>0.52821000000000007</v>
      </c>
      <c r="AD16" s="1923">
        <v>0.51756999999999997</v>
      </c>
      <c r="AE16" s="1918">
        <v>1.137</v>
      </c>
      <c r="AF16" s="1918">
        <v>0.83409</v>
      </c>
      <c r="AG16" s="1918">
        <v>0.66700000000000004</v>
      </c>
      <c r="AH16" s="1918">
        <v>1.1714</v>
      </c>
      <c r="AI16" s="1924">
        <v>0.69098999999999999</v>
      </c>
      <c r="AJ16" s="1925">
        <f t="shared" si="0"/>
        <v>7.8194450000000009</v>
      </c>
      <c r="AK16" s="1926">
        <v>0.71955999999999998</v>
      </c>
      <c r="AL16" s="1926">
        <v>0.65363000000000004</v>
      </c>
      <c r="AM16" s="1926">
        <v>1.1057600000000001</v>
      </c>
      <c r="AN16" s="1926">
        <v>1.1635900000000001</v>
      </c>
      <c r="AO16" s="1926">
        <v>1.18367</v>
      </c>
      <c r="AP16" s="1926">
        <v>1.3551799999999998</v>
      </c>
      <c r="AQ16" s="1926">
        <v>1.56549</v>
      </c>
      <c r="AR16" s="1927">
        <v>1.6619999999999999</v>
      </c>
      <c r="AS16" s="1927">
        <v>1.41673</v>
      </c>
      <c r="AT16" s="1927">
        <v>2.0453190000000001</v>
      </c>
      <c r="AU16" s="1927">
        <v>2.2814800000000002</v>
      </c>
      <c r="AV16" s="1928">
        <v>1.74092</v>
      </c>
      <c r="AW16" s="1912">
        <v>0.77219000000000004</v>
      </c>
      <c r="AX16" s="1912">
        <v>0.95374000000000003</v>
      </c>
      <c r="AY16" s="1912">
        <v>0.85299999999999998</v>
      </c>
      <c r="AZ16" s="1912">
        <v>1.014686</v>
      </c>
      <c r="BA16" s="1912">
        <v>1.04474</v>
      </c>
      <c r="BB16" s="1913">
        <v>0.88269000000000009</v>
      </c>
      <c r="BC16" s="1929">
        <v>1.784</v>
      </c>
      <c r="BD16" s="1912">
        <v>2.47112</v>
      </c>
      <c r="BE16" s="1912">
        <v>2.3820000000000001</v>
      </c>
      <c r="BF16" s="1930">
        <v>2.1640299999999999</v>
      </c>
      <c r="BG16" s="2324">
        <v>2.1074499999999996</v>
      </c>
      <c r="BH16" s="2322">
        <v>1.960364</v>
      </c>
      <c r="BI16" s="2322">
        <v>1.61544</v>
      </c>
      <c r="BJ16" s="2322">
        <v>2.0283899999999999</v>
      </c>
      <c r="BK16" s="2322">
        <v>2.3713699999999998</v>
      </c>
      <c r="BL16" s="2322">
        <v>2.09571</v>
      </c>
      <c r="BM16" s="2322">
        <v>2.1041300000000001</v>
      </c>
      <c r="BN16" s="2322">
        <v>2.08325</v>
      </c>
      <c r="BO16" s="2325">
        <v>2.0078510000000001</v>
      </c>
      <c r="BP16" s="2325">
        <v>1.6494230000000001</v>
      </c>
      <c r="BQ16" s="2322">
        <f>2161.258/1000</f>
        <v>2.1612579999999997</v>
      </c>
      <c r="BR16" s="2326">
        <f>2146.812/1000</f>
        <v>2.1468119999999997</v>
      </c>
      <c r="BS16" s="2598">
        <v>1.876539</v>
      </c>
      <c r="BT16" s="2598">
        <v>1.5604990000000001</v>
      </c>
      <c r="BU16" s="2598">
        <v>1.7709999999999999</v>
      </c>
      <c r="BV16" s="2598">
        <f>+'01_MWh GENERACIÓN'!L112</f>
        <v>2.2954889999999999</v>
      </c>
      <c r="BW16" s="2598">
        <v>1.951335</v>
      </c>
      <c r="BX16" s="2598">
        <v>2.2954889999999999</v>
      </c>
      <c r="BY16" s="2398">
        <f>SUM(BB16:BR16)</f>
        <v>34.015287999999998</v>
      </c>
      <c r="BZ16" s="1931"/>
      <c r="CA16" s="1889"/>
      <c r="CB16" s="1890"/>
      <c r="CC16" s="1890"/>
      <c r="CD16" s="1890"/>
      <c r="CE16" s="1890"/>
    </row>
    <row r="17" spans="1:79" ht="13.5" thickBot="1">
      <c r="A17" s="2927"/>
      <c r="B17" s="2852"/>
      <c r="C17" s="2930"/>
      <c r="D17" s="2933"/>
      <c r="E17" s="2936"/>
      <c r="F17" s="2939"/>
      <c r="G17" s="2906"/>
      <c r="H17" s="1932" t="s">
        <v>214</v>
      </c>
      <c r="I17" s="1933">
        <f t="shared" ref="I17:AI17" si="2">SUM(I6:I16)</f>
        <v>3955.9630000000002</v>
      </c>
      <c r="J17" s="1934">
        <f t="shared" si="2"/>
        <v>3562.893</v>
      </c>
      <c r="K17" s="1934">
        <f t="shared" si="2"/>
        <v>3083.5229999999997</v>
      </c>
      <c r="L17" s="1934">
        <f t="shared" si="2"/>
        <v>3081.3009999999999</v>
      </c>
      <c r="M17" s="1934">
        <f t="shared" si="2"/>
        <v>2985.0109999999995</v>
      </c>
      <c r="N17" s="1934">
        <f t="shared" si="2"/>
        <v>2850.9029999999998</v>
      </c>
      <c r="O17" s="1934">
        <f t="shared" si="2"/>
        <v>3033.8467499999997</v>
      </c>
      <c r="P17" s="1934">
        <f t="shared" si="2"/>
        <v>3080.1929999999998</v>
      </c>
      <c r="Q17" s="1935">
        <f t="shared" si="2"/>
        <v>3586.7095599999998</v>
      </c>
      <c r="R17" s="1933">
        <f t="shared" si="2"/>
        <v>4084.9042343749998</v>
      </c>
      <c r="S17" s="1934">
        <f t="shared" si="2"/>
        <v>4122.9857031250003</v>
      </c>
      <c r="T17" s="1934">
        <f t="shared" si="2"/>
        <v>4654.0349999999999</v>
      </c>
      <c r="U17" s="1934">
        <f t="shared" si="2"/>
        <v>4318.2004999999999</v>
      </c>
      <c r="V17" s="1934">
        <f t="shared" si="2"/>
        <v>4275.9009999999998</v>
      </c>
      <c r="W17" s="1934">
        <f t="shared" si="2"/>
        <v>3884.5592999999999</v>
      </c>
      <c r="X17" s="1934">
        <f t="shared" si="2"/>
        <v>3799.89273</v>
      </c>
      <c r="Y17" s="1934">
        <f t="shared" si="2"/>
        <v>3569.7757000000001</v>
      </c>
      <c r="Z17" s="1934">
        <f t="shared" si="2"/>
        <v>3313.0198999999998</v>
      </c>
      <c r="AA17" s="1934">
        <f t="shared" si="2"/>
        <v>3544.1857499999996</v>
      </c>
      <c r="AB17" s="1934">
        <f t="shared" si="2"/>
        <v>3691.2659849999995</v>
      </c>
      <c r="AC17" s="1936">
        <f t="shared" si="2"/>
        <v>4179.1589100000001</v>
      </c>
      <c r="AD17" s="1937">
        <f t="shared" si="2"/>
        <v>4351.9445699999997</v>
      </c>
      <c r="AE17" s="1934">
        <f t="shared" si="2"/>
        <v>4364.4422500000001</v>
      </c>
      <c r="AF17" s="1934">
        <f t="shared" si="2"/>
        <v>4998.55746</v>
      </c>
      <c r="AG17" s="1934">
        <f t="shared" si="2"/>
        <v>4824.3637710000012</v>
      </c>
      <c r="AH17" s="1934">
        <f t="shared" si="2"/>
        <v>4790.1459999999997</v>
      </c>
      <c r="AI17" s="1936">
        <f t="shared" si="2"/>
        <v>4706.3458600000004</v>
      </c>
      <c r="AJ17" s="1934">
        <f t="shared" si="0"/>
        <v>50133.098886</v>
      </c>
      <c r="AK17" s="1934">
        <f t="shared" ref="AK17:AX17" si="3">SUM(AK6:AK16)</f>
        <v>4627.5027599999994</v>
      </c>
      <c r="AL17" s="1934">
        <f t="shared" si="3"/>
        <v>4028.5029800000002</v>
      </c>
      <c r="AM17" s="1934">
        <f t="shared" si="3"/>
        <v>3832.6825726464849</v>
      </c>
      <c r="AN17" s="1934">
        <f t="shared" si="3"/>
        <v>4142.1643400000003</v>
      </c>
      <c r="AO17" s="1934">
        <f t="shared" si="3"/>
        <v>4285.82891169922</v>
      </c>
      <c r="AP17" s="1934">
        <f t="shared" si="3"/>
        <v>4888.0958201367184</v>
      </c>
      <c r="AQ17" s="1934">
        <f t="shared" si="3"/>
        <v>5034.6543900000006</v>
      </c>
      <c r="AR17" s="1934">
        <f t="shared" si="3"/>
        <v>4860.0533505859366</v>
      </c>
      <c r="AS17" s="1934">
        <f t="shared" si="3"/>
        <v>5473.8164720312488</v>
      </c>
      <c r="AT17" s="1934">
        <f t="shared" si="3"/>
        <v>4973.6703893124995</v>
      </c>
      <c r="AU17" s="1936">
        <f t="shared" si="3"/>
        <v>4756.6931938671869</v>
      </c>
      <c r="AV17" s="1938">
        <f t="shared" si="3"/>
        <v>4182.8306201953119</v>
      </c>
      <c r="AW17" s="1934">
        <f t="shared" si="3"/>
        <v>3984.0982838437508</v>
      </c>
      <c r="AX17" s="1934">
        <f t="shared" si="3"/>
        <v>3824.5582889140619</v>
      </c>
      <c r="AY17" s="1934">
        <f>SUM(AY6:AY16)</f>
        <v>3730.4873968281245</v>
      </c>
      <c r="AZ17" s="1934">
        <f t="shared" ref="AZ17:BH17" si="4">SUM(AZ6:AZ16)</f>
        <v>3847.2974559999998</v>
      </c>
      <c r="BA17" s="1934">
        <f t="shared" si="4"/>
        <v>3841.8816669999987</v>
      </c>
      <c r="BB17" s="1935">
        <f>SUM(BB6:BB16)</f>
        <v>4419.1482891875003</v>
      </c>
      <c r="BC17" s="1933">
        <f>SUM(BC6:BC16)</f>
        <v>4984.193199078125</v>
      </c>
      <c r="BD17" s="1934">
        <f t="shared" si="4"/>
        <v>5062.7398541958719</v>
      </c>
      <c r="BE17" s="1934">
        <f t="shared" si="4"/>
        <v>5539.0371779760035</v>
      </c>
      <c r="BF17" s="1936">
        <f t="shared" si="4"/>
        <v>5448.3332979999996</v>
      </c>
      <c r="BG17" s="2327">
        <f t="shared" si="4"/>
        <v>5241.1787202500009</v>
      </c>
      <c r="BH17" s="2328">
        <f t="shared" si="4"/>
        <v>4385.79420915625</v>
      </c>
      <c r="BI17" s="2328">
        <f>SUM(BI6:BI16)</f>
        <v>4206.9294702504994</v>
      </c>
      <c r="BJ17" s="2328">
        <f t="shared" ref="BJ17:BR17" si="5">SUM(BJ6:BJ16)</f>
        <v>4060.1607910000002</v>
      </c>
      <c r="BK17" s="2328">
        <f t="shared" si="5"/>
        <v>3740.3297360000001</v>
      </c>
      <c r="BL17" s="2328">
        <f t="shared" si="5"/>
        <v>3922.8131573125006</v>
      </c>
      <c r="BM17" s="2328">
        <f t="shared" si="5"/>
        <v>3881.5160209999999</v>
      </c>
      <c r="BN17" s="2328">
        <f t="shared" si="5"/>
        <v>4284.3275832999989</v>
      </c>
      <c r="BO17" s="2328">
        <f t="shared" si="5"/>
        <v>4913.6045160000012</v>
      </c>
      <c r="BP17" s="2328">
        <f t="shared" si="5"/>
        <v>4904.5967260000007</v>
      </c>
      <c r="BQ17" s="2328">
        <f t="shared" si="5"/>
        <v>5710.6884109999992</v>
      </c>
      <c r="BR17" s="2329">
        <f t="shared" si="5"/>
        <v>5181.7361369999999</v>
      </c>
      <c r="BS17" s="2329">
        <v>5300.8840629999995</v>
      </c>
      <c r="BT17" s="2329">
        <v>4271.6069280000002</v>
      </c>
      <c r="BU17" s="2329">
        <v>4459.2039999999997</v>
      </c>
      <c r="BV17" s="2329">
        <f>SUM(BV6:BV16)</f>
        <v>3946.4245930000006</v>
      </c>
      <c r="BW17" s="2329">
        <f>SUM(BW6:BW16)</f>
        <v>4264.1366230000003</v>
      </c>
      <c r="BX17" s="2329">
        <f>SUM(BX6:BX16)</f>
        <v>3969.6833700000007</v>
      </c>
      <c r="BY17" s="2399">
        <f>SUM(AT17:BN17)</f>
        <v>92318.018802667662</v>
      </c>
      <c r="BZ17" s="1939"/>
      <c r="CA17" s="1940"/>
    </row>
    <row r="18" spans="1:79">
      <c r="A18" s="2830" t="s">
        <v>297</v>
      </c>
      <c r="B18" s="2907" t="s">
        <v>248</v>
      </c>
      <c r="C18" s="2910" t="s">
        <v>249</v>
      </c>
      <c r="D18" s="2913" t="s">
        <v>250</v>
      </c>
      <c r="E18" s="2916" t="s">
        <v>218</v>
      </c>
      <c r="F18" s="2919" t="s">
        <v>81</v>
      </c>
      <c r="G18" s="2922" t="s">
        <v>12</v>
      </c>
      <c r="H18" s="1941" t="s">
        <v>204</v>
      </c>
      <c r="I18" s="1942">
        <v>82041</v>
      </c>
      <c r="J18" s="1943">
        <v>48567</v>
      </c>
      <c r="K18" s="1943">
        <v>32765</v>
      </c>
      <c r="L18" s="1943">
        <v>38288</v>
      </c>
      <c r="M18" s="1943">
        <v>32788</v>
      </c>
      <c r="N18" s="1943">
        <v>36433</v>
      </c>
      <c r="O18" s="1943">
        <v>40629</v>
      </c>
      <c r="P18" s="1943">
        <v>41002</v>
      </c>
      <c r="Q18" s="1944">
        <v>90056</v>
      </c>
      <c r="R18" s="1945">
        <v>63417</v>
      </c>
      <c r="S18" s="1946">
        <v>81111</v>
      </c>
      <c r="T18" s="1946">
        <v>98608</v>
      </c>
      <c r="U18" s="1946">
        <v>75587</v>
      </c>
      <c r="V18" s="1947">
        <v>68373</v>
      </c>
      <c r="W18" s="1948">
        <v>56543</v>
      </c>
      <c r="X18" s="1948">
        <v>51966</v>
      </c>
      <c r="Y18" s="1948">
        <v>56068</v>
      </c>
      <c r="Z18" s="1948">
        <v>39339</v>
      </c>
      <c r="AA18" s="1949">
        <v>50334</v>
      </c>
      <c r="AB18" s="1949">
        <v>62248</v>
      </c>
      <c r="AC18" s="1950">
        <v>73507</v>
      </c>
      <c r="AD18" s="1951">
        <v>81556</v>
      </c>
      <c r="AE18" s="1952">
        <v>88573</v>
      </c>
      <c r="AF18" s="1952">
        <v>107663</v>
      </c>
      <c r="AG18" s="1952">
        <v>104500</v>
      </c>
      <c r="AH18" s="1948">
        <v>105434</v>
      </c>
      <c r="AI18" s="1950">
        <v>88964</v>
      </c>
      <c r="AJ18" s="1952">
        <f t="shared" si="0"/>
        <v>910152</v>
      </c>
      <c r="AK18" s="1953">
        <v>74347</v>
      </c>
      <c r="AL18" s="1953">
        <v>55517</v>
      </c>
      <c r="AM18" s="1953">
        <v>62727</v>
      </c>
      <c r="AN18" s="1953">
        <v>61965</v>
      </c>
      <c r="AO18" s="1953">
        <v>71153</v>
      </c>
      <c r="AP18" s="1953">
        <v>92676</v>
      </c>
      <c r="AQ18" s="1953">
        <v>100157</v>
      </c>
      <c r="AR18" s="1954">
        <v>92286</v>
      </c>
      <c r="AS18" s="1954">
        <v>116639</v>
      </c>
      <c r="AT18" s="1954">
        <v>106256</v>
      </c>
      <c r="AU18" s="1954">
        <v>103111</v>
      </c>
      <c r="AV18" s="1955">
        <v>83612</v>
      </c>
      <c r="AW18" s="1956">
        <v>72325</v>
      </c>
      <c r="AX18" s="1956">
        <v>71071</v>
      </c>
      <c r="AY18" s="1956">
        <v>79347</v>
      </c>
      <c r="AZ18" s="1956">
        <v>81382</v>
      </c>
      <c r="BA18" s="1956">
        <v>82951</v>
      </c>
      <c r="BB18" s="1957">
        <v>90271</v>
      </c>
      <c r="BC18" s="1958">
        <v>98438</v>
      </c>
      <c r="BD18" s="1956">
        <v>97515</v>
      </c>
      <c r="BE18" s="1956">
        <v>105987</v>
      </c>
      <c r="BF18" s="2382">
        <v>108117</v>
      </c>
      <c r="BG18" s="2424">
        <v>92547.029609258054</v>
      </c>
      <c r="BH18" s="2330">
        <v>81485.046221669269</v>
      </c>
      <c r="BI18" s="2330">
        <v>77674.23894160839</v>
      </c>
      <c r="BJ18" s="2330">
        <v>72395.887661722008</v>
      </c>
      <c r="BK18" s="2330">
        <v>65145.766320392242</v>
      </c>
      <c r="BL18" s="2330">
        <v>69974.859690605765</v>
      </c>
      <c r="BM18" s="2330">
        <v>53148.793414092463</v>
      </c>
      <c r="BN18" s="2330">
        <v>76747.432146565538</v>
      </c>
      <c r="BO18" s="2331">
        <v>88571.461321257841</v>
      </c>
      <c r="BP18" s="2331">
        <v>92729.685332558511</v>
      </c>
      <c r="BQ18" s="2331">
        <v>98967.17446814572</v>
      </c>
      <c r="BR18" s="2425">
        <v>100631.23764240391</v>
      </c>
      <c r="BS18" s="2599">
        <v>93251.570832413156</v>
      </c>
      <c r="BT18" s="2621">
        <v>67865.170365843427</v>
      </c>
      <c r="BU18" s="2621">
        <v>68310</v>
      </c>
      <c r="BV18" s="2621">
        <f>+'02_CONSUMO COMBUSTIBLE'!B109</f>
        <v>65712.221374040702</v>
      </c>
      <c r="BW18" s="2621">
        <v>65350.570852115867</v>
      </c>
      <c r="BX18" s="2621">
        <v>65712.221374040702</v>
      </c>
      <c r="BY18" s="2400">
        <f>SUM(BG18:BR18)</f>
        <v>970018.61277027975</v>
      </c>
      <c r="BZ18" s="1939"/>
      <c r="CA18" s="1940"/>
    </row>
    <row r="19" spans="1:79">
      <c r="A19" s="2830"/>
      <c r="B19" s="2908"/>
      <c r="C19" s="2911"/>
      <c r="D19" s="2914"/>
      <c r="E19" s="2917"/>
      <c r="F19" s="2920"/>
      <c r="G19" s="2923"/>
      <c r="H19" s="1959" t="s">
        <v>205</v>
      </c>
      <c r="I19" s="1960">
        <v>169555</v>
      </c>
      <c r="J19" s="1961">
        <v>152872</v>
      </c>
      <c r="K19" s="1961">
        <v>127289</v>
      </c>
      <c r="L19" s="1961">
        <v>127566</v>
      </c>
      <c r="M19" s="1961">
        <v>122047</v>
      </c>
      <c r="N19" s="1961">
        <v>116788</v>
      </c>
      <c r="O19" s="1961">
        <v>125144</v>
      </c>
      <c r="P19" s="1961">
        <v>129947</v>
      </c>
      <c r="Q19" s="1962">
        <v>151550</v>
      </c>
      <c r="R19" s="1960">
        <v>177190</v>
      </c>
      <c r="S19" s="1961">
        <v>179944</v>
      </c>
      <c r="T19" s="1961">
        <v>207830</v>
      </c>
      <c r="U19" s="1961">
        <v>200081</v>
      </c>
      <c r="V19" s="1963">
        <v>195614</v>
      </c>
      <c r="W19" s="1837">
        <v>169057</v>
      </c>
      <c r="X19" s="1837">
        <v>158238</v>
      </c>
      <c r="Y19" s="1837">
        <v>138471</v>
      </c>
      <c r="Z19" s="1837">
        <v>125141</v>
      </c>
      <c r="AA19" s="1964">
        <v>135377</v>
      </c>
      <c r="AB19" s="1964">
        <v>141856</v>
      </c>
      <c r="AC19" s="1965">
        <v>161209</v>
      </c>
      <c r="AD19" s="1966">
        <v>168330</v>
      </c>
      <c r="AE19" s="1837">
        <v>159288</v>
      </c>
      <c r="AF19" s="1837">
        <v>190997</v>
      </c>
      <c r="AG19" s="1837">
        <v>188153</v>
      </c>
      <c r="AH19" s="1837">
        <v>182758</v>
      </c>
      <c r="AI19" s="1965">
        <v>177782</v>
      </c>
      <c r="AJ19" s="1952">
        <f t="shared" si="0"/>
        <v>1927600</v>
      </c>
      <c r="AK19" s="1967">
        <v>151603</v>
      </c>
      <c r="AL19" s="1967">
        <v>130717</v>
      </c>
      <c r="AM19" s="1967">
        <v>127701</v>
      </c>
      <c r="AN19" s="1967">
        <v>141653</v>
      </c>
      <c r="AO19" s="1967">
        <v>145743</v>
      </c>
      <c r="AP19" s="1967">
        <v>178019</v>
      </c>
      <c r="AQ19" s="1967">
        <v>186542.99999999997</v>
      </c>
      <c r="AR19" s="1968">
        <v>190833</v>
      </c>
      <c r="AS19" s="1968">
        <v>212753</v>
      </c>
      <c r="AT19" s="1968">
        <v>183144</v>
      </c>
      <c r="AU19" s="1968">
        <v>165313</v>
      </c>
      <c r="AV19" s="1969">
        <v>137868</v>
      </c>
      <c r="AW19" s="1970">
        <v>127859</v>
      </c>
      <c r="AX19" s="1970">
        <v>117739.99629297268</v>
      </c>
      <c r="AY19" s="1970">
        <v>117835.00000000001</v>
      </c>
      <c r="AZ19" s="1970">
        <v>118559.02163050865</v>
      </c>
      <c r="BA19" s="1970">
        <v>118767</v>
      </c>
      <c r="BB19" s="1971">
        <v>148118.99999999997</v>
      </c>
      <c r="BC19" s="1972">
        <v>198742</v>
      </c>
      <c r="BD19" s="1970">
        <v>203953</v>
      </c>
      <c r="BE19" s="1970">
        <v>223404</v>
      </c>
      <c r="BF19" s="2383">
        <v>203066.28339999999</v>
      </c>
      <c r="BG19" s="2426">
        <v>182417.47690178544</v>
      </c>
      <c r="BH19" s="2332">
        <v>140341.62798479342</v>
      </c>
      <c r="BI19" s="2332">
        <v>147820.89024640061</v>
      </c>
      <c r="BJ19" s="2332">
        <v>125516.03966368386</v>
      </c>
      <c r="BK19" s="2332">
        <v>110296.37799377841</v>
      </c>
      <c r="BL19" s="2332">
        <v>128006.40073135452</v>
      </c>
      <c r="BM19" s="2332">
        <v>122611.58379916969</v>
      </c>
      <c r="BN19" s="2332">
        <v>152614.32200943065</v>
      </c>
      <c r="BO19" s="2333">
        <v>193498.395085956</v>
      </c>
      <c r="BP19" s="2333">
        <v>195011.3044808337</v>
      </c>
      <c r="BQ19" s="2333">
        <v>222171.05039994343</v>
      </c>
      <c r="BR19" s="2425">
        <v>201836.16508239351</v>
      </c>
      <c r="BS19" s="2599">
        <v>204103.60054470657</v>
      </c>
      <c r="BT19" s="2622">
        <v>156529.747898437</v>
      </c>
      <c r="BU19" s="2622">
        <v>150730</v>
      </c>
      <c r="BV19" s="2622">
        <f>+'02_CONSUMO COMBUSTIBLE'!C109</f>
        <v>136436.45048882649</v>
      </c>
      <c r="BW19" s="2622">
        <v>137774.3001203223</v>
      </c>
      <c r="BX19" s="2622">
        <v>136436.45048882649</v>
      </c>
      <c r="BY19" s="2401">
        <f>SUM(BG19:BR19)</f>
        <v>1922141.6343795233</v>
      </c>
      <c r="BZ19" s="1939"/>
      <c r="CA19" s="1940"/>
    </row>
    <row r="20" spans="1:79">
      <c r="A20" s="2830"/>
      <c r="B20" s="2908"/>
      <c r="C20" s="2911"/>
      <c r="D20" s="2914"/>
      <c r="E20" s="2917"/>
      <c r="F20" s="2920"/>
      <c r="G20" s="2923"/>
      <c r="H20" s="1959" t="s">
        <v>206</v>
      </c>
      <c r="I20" s="1960">
        <v>27708</v>
      </c>
      <c r="J20" s="1961">
        <v>25144</v>
      </c>
      <c r="K20" s="1961">
        <v>20521</v>
      </c>
      <c r="L20" s="1961">
        <v>21266</v>
      </c>
      <c r="M20" s="1961">
        <v>21037</v>
      </c>
      <c r="N20" s="1961">
        <v>20201</v>
      </c>
      <c r="O20" s="1961">
        <v>21491</v>
      </c>
      <c r="P20" s="1961">
        <v>22292</v>
      </c>
      <c r="Q20" s="1962">
        <v>26182</v>
      </c>
      <c r="R20" s="1960">
        <v>28605</v>
      </c>
      <c r="S20" s="1961">
        <v>29564</v>
      </c>
      <c r="T20" s="1961">
        <v>36030</v>
      </c>
      <c r="U20" s="1961">
        <v>32577</v>
      </c>
      <c r="V20" s="1963">
        <v>31621</v>
      </c>
      <c r="W20" s="1837">
        <v>27634</v>
      </c>
      <c r="X20" s="1837">
        <v>29340</v>
      </c>
      <c r="Y20" s="1837">
        <v>27420</v>
      </c>
      <c r="Z20" s="1837">
        <v>24682</v>
      </c>
      <c r="AA20" s="1964">
        <v>27029</v>
      </c>
      <c r="AB20" s="1964">
        <v>28004</v>
      </c>
      <c r="AC20" s="1965">
        <v>31489</v>
      </c>
      <c r="AD20" s="1966">
        <v>32988</v>
      </c>
      <c r="AE20" s="1837">
        <v>31733</v>
      </c>
      <c r="AF20" s="1837">
        <v>36755</v>
      </c>
      <c r="AG20" s="1837">
        <v>33564</v>
      </c>
      <c r="AH20" s="1837">
        <v>31729</v>
      </c>
      <c r="AI20" s="1965">
        <v>30784</v>
      </c>
      <c r="AJ20" s="1952">
        <f t="shared" si="0"/>
        <v>365517</v>
      </c>
      <c r="AK20" s="1967">
        <v>31884</v>
      </c>
      <c r="AL20" s="1967">
        <v>27641</v>
      </c>
      <c r="AM20" s="1967">
        <v>26061</v>
      </c>
      <c r="AN20" s="1967">
        <v>28737</v>
      </c>
      <c r="AO20" s="1967">
        <v>32195</v>
      </c>
      <c r="AP20" s="1967">
        <v>37063</v>
      </c>
      <c r="AQ20" s="1967">
        <v>37461</v>
      </c>
      <c r="AR20" s="1968">
        <v>37154</v>
      </c>
      <c r="AS20" s="1968">
        <v>41758</v>
      </c>
      <c r="AT20" s="1968">
        <v>36657</v>
      </c>
      <c r="AU20" s="1968">
        <v>33102</v>
      </c>
      <c r="AV20" s="1969">
        <v>28577</v>
      </c>
      <c r="AW20" s="1970">
        <v>26923</v>
      </c>
      <c r="AX20" s="1970">
        <v>28363</v>
      </c>
      <c r="AY20" s="1970">
        <v>27105</v>
      </c>
      <c r="AZ20" s="1970">
        <v>27663</v>
      </c>
      <c r="BA20" s="1970">
        <v>26647</v>
      </c>
      <c r="BB20" s="1971">
        <v>30259</v>
      </c>
      <c r="BC20" s="1972">
        <v>35278</v>
      </c>
      <c r="BD20" s="1970">
        <v>36197</v>
      </c>
      <c r="BE20" s="1970">
        <v>43547</v>
      </c>
      <c r="BF20" s="2383">
        <v>43427</v>
      </c>
      <c r="BG20" s="2426">
        <v>39741</v>
      </c>
      <c r="BH20" s="2332">
        <v>34226</v>
      </c>
      <c r="BI20" s="2332">
        <v>32078</v>
      </c>
      <c r="BJ20" s="2332">
        <v>31442</v>
      </c>
      <c r="BK20" s="2332">
        <v>28877</v>
      </c>
      <c r="BL20" s="2332">
        <v>30763</v>
      </c>
      <c r="BM20" s="2332">
        <v>30492</v>
      </c>
      <c r="BN20" s="2332">
        <v>33295</v>
      </c>
      <c r="BO20" s="2331">
        <v>38741</v>
      </c>
      <c r="BP20" s="2331">
        <v>39493</v>
      </c>
      <c r="BQ20" s="2331">
        <v>33283.639421387183</v>
      </c>
      <c r="BR20" s="2425">
        <v>41099</v>
      </c>
      <c r="BS20" s="2599">
        <v>41177</v>
      </c>
      <c r="BT20" s="2622">
        <v>36510</v>
      </c>
      <c r="BU20" s="2622">
        <v>36291</v>
      </c>
      <c r="BV20" s="2622">
        <f>+'02_CONSUMO COMBUSTIBLE'!D109</f>
        <v>30041</v>
      </c>
      <c r="BW20" s="2622">
        <v>36165</v>
      </c>
      <c r="BX20" s="2622">
        <v>30041</v>
      </c>
      <c r="BY20" s="2401">
        <f>SUM(BG20:BR20)</f>
        <v>413530.63942138717</v>
      </c>
      <c r="BZ20" s="1939"/>
      <c r="CA20" s="1940"/>
    </row>
    <row r="21" spans="1:79">
      <c r="A21" s="2830"/>
      <c r="B21" s="2908"/>
      <c r="C21" s="2911"/>
      <c r="D21" s="2914"/>
      <c r="E21" s="2917"/>
      <c r="F21" s="2920"/>
      <c r="G21" s="2923"/>
      <c r="H21" s="1959" t="s">
        <v>207</v>
      </c>
      <c r="I21" s="1960">
        <v>1370</v>
      </c>
      <c r="J21" s="1961">
        <v>1266</v>
      </c>
      <c r="K21" s="1961">
        <v>1164</v>
      </c>
      <c r="L21" s="1961">
        <v>1221.5</v>
      </c>
      <c r="M21" s="1961">
        <v>621.5</v>
      </c>
      <c r="N21" s="1961">
        <v>615</v>
      </c>
      <c r="O21" s="1961">
        <v>641.75</v>
      </c>
      <c r="P21" s="1961">
        <v>617.25</v>
      </c>
      <c r="Q21" s="1962">
        <v>628.5</v>
      </c>
      <c r="R21" s="1960">
        <v>613</v>
      </c>
      <c r="S21" s="1961">
        <v>1984</v>
      </c>
      <c r="T21" s="1961">
        <v>2278</v>
      </c>
      <c r="U21" s="1961">
        <v>2341.5</v>
      </c>
      <c r="V21" s="1963">
        <v>2479</v>
      </c>
      <c r="W21" s="1837">
        <v>2063</v>
      </c>
      <c r="X21" s="1837">
        <v>1893</v>
      </c>
      <c r="Y21" s="1837">
        <v>1884</v>
      </c>
      <c r="Z21" s="1837">
        <v>1285.5</v>
      </c>
      <c r="AA21" s="1964">
        <v>1156.25</v>
      </c>
      <c r="AB21" s="1964">
        <v>843.5</v>
      </c>
      <c r="AC21" s="1965">
        <v>977</v>
      </c>
      <c r="AD21" s="1966">
        <v>976</v>
      </c>
      <c r="AE21" s="1837">
        <v>1128.5</v>
      </c>
      <c r="AF21" s="1837">
        <v>1375.2999999999997</v>
      </c>
      <c r="AG21" s="1837">
        <v>1357.2999999999997</v>
      </c>
      <c r="AH21" s="1837">
        <v>1392.3</v>
      </c>
      <c r="AI21" s="1965">
        <v>1329</v>
      </c>
      <c r="AJ21" s="1952">
        <f t="shared" si="0"/>
        <v>15597.649999999998</v>
      </c>
      <c r="AK21" s="1967">
        <v>1828</v>
      </c>
      <c r="AL21" s="1967">
        <v>1721</v>
      </c>
      <c r="AM21" s="1967">
        <v>1700</v>
      </c>
      <c r="AN21" s="1967">
        <v>1562.5</v>
      </c>
      <c r="AO21" s="1967">
        <v>1103</v>
      </c>
      <c r="AP21" s="1967">
        <v>1200</v>
      </c>
      <c r="AQ21" s="1967">
        <v>1462.5</v>
      </c>
      <c r="AR21" s="1968">
        <v>1281</v>
      </c>
      <c r="AS21" s="1968">
        <v>1350.5</v>
      </c>
      <c r="AT21" s="1968">
        <v>1575.5</v>
      </c>
      <c r="AU21" s="1968">
        <v>1951</v>
      </c>
      <c r="AV21" s="1969">
        <v>1790</v>
      </c>
      <c r="AW21" s="1970">
        <v>971</v>
      </c>
      <c r="AX21" s="1970">
        <v>1403.25</v>
      </c>
      <c r="AY21" s="1970">
        <v>655.25</v>
      </c>
      <c r="AZ21" s="1970">
        <v>517.5</v>
      </c>
      <c r="BA21" s="1970">
        <v>1278</v>
      </c>
      <c r="BB21" s="1971">
        <v>1380</v>
      </c>
      <c r="BC21" s="1972">
        <v>1492.5</v>
      </c>
      <c r="BD21" s="1970">
        <v>1484.6000000000004</v>
      </c>
      <c r="BE21" s="1970">
        <v>1622.9</v>
      </c>
      <c r="BF21" s="2383">
        <v>1786.2</v>
      </c>
      <c r="BG21" s="2426">
        <v>1885</v>
      </c>
      <c r="BH21" s="2332">
        <v>1778</v>
      </c>
      <c r="BI21" s="2332">
        <v>1921</v>
      </c>
      <c r="BJ21" s="2332">
        <v>914.79999999999984</v>
      </c>
      <c r="BK21" s="2332">
        <v>642.10000000000014</v>
      </c>
      <c r="BL21" s="2332">
        <v>952.6</v>
      </c>
      <c r="BM21" s="2332">
        <v>960.59999999999991</v>
      </c>
      <c r="BN21" s="2332">
        <v>1167.3000000000002</v>
      </c>
      <c r="BO21" s="2331">
        <v>2220</v>
      </c>
      <c r="BP21" s="2331">
        <v>2431</v>
      </c>
      <c r="BQ21" s="2331">
        <v>2796</v>
      </c>
      <c r="BR21" s="2425">
        <v>2186</v>
      </c>
      <c r="BS21" s="2599">
        <v>2620</v>
      </c>
      <c r="BT21" s="2622">
        <v>2333</v>
      </c>
      <c r="BU21" s="2622">
        <v>2458</v>
      </c>
      <c r="BV21" s="2622">
        <f>+'02_CONSUMO COMBUSTIBLE'!E109</f>
        <v>2036</v>
      </c>
      <c r="BW21" s="2622">
        <v>2260</v>
      </c>
      <c r="BX21" s="2622">
        <v>2036</v>
      </c>
      <c r="BY21" s="2401">
        <f>SUM(BG21:BR21)</f>
        <v>19854.400000000001</v>
      </c>
      <c r="BZ21" s="1939"/>
      <c r="CA21" s="1940"/>
    </row>
    <row r="22" spans="1:79" ht="13.5" thickBot="1">
      <c r="A22" s="2830"/>
      <c r="B22" s="2908"/>
      <c r="C22" s="2911"/>
      <c r="D22" s="2914"/>
      <c r="E22" s="2917"/>
      <c r="F22" s="2920"/>
      <c r="G22" s="2923"/>
      <c r="H22" s="1973" t="s">
        <v>208</v>
      </c>
      <c r="I22" s="1974">
        <v>1286</v>
      </c>
      <c r="J22" s="1975">
        <v>1266</v>
      </c>
      <c r="K22" s="1975">
        <v>1164</v>
      </c>
      <c r="L22" s="1975">
        <v>1221.5</v>
      </c>
      <c r="M22" s="1975">
        <v>1864.5</v>
      </c>
      <c r="N22" s="1975">
        <v>1845</v>
      </c>
      <c r="O22" s="1975">
        <v>1925.75</v>
      </c>
      <c r="P22" s="1975">
        <v>1851.75</v>
      </c>
      <c r="Q22" s="1976">
        <v>1885.5</v>
      </c>
      <c r="R22" s="1974">
        <v>1839</v>
      </c>
      <c r="S22" s="1975">
        <v>123</v>
      </c>
      <c r="T22" s="1975">
        <v>0</v>
      </c>
      <c r="U22" s="1975">
        <v>0</v>
      </c>
      <c r="V22" s="1977">
        <v>0</v>
      </c>
      <c r="W22" s="1978">
        <v>0</v>
      </c>
      <c r="X22" s="1978">
        <v>0</v>
      </c>
      <c r="Y22" s="1978">
        <v>0</v>
      </c>
      <c r="Z22" s="1978">
        <v>428.5</v>
      </c>
      <c r="AA22" s="1979">
        <v>563.75</v>
      </c>
      <c r="AB22" s="1979">
        <v>920.5</v>
      </c>
      <c r="AC22" s="1980">
        <v>977</v>
      </c>
      <c r="AD22" s="1981">
        <v>976</v>
      </c>
      <c r="AE22" s="1978">
        <v>685.5</v>
      </c>
      <c r="AF22" s="1978">
        <v>580.70000000000005</v>
      </c>
      <c r="AG22" s="1978">
        <v>581.70000000000016</v>
      </c>
      <c r="AH22" s="1978">
        <v>596.70000000000005</v>
      </c>
      <c r="AI22" s="1980">
        <v>575</v>
      </c>
      <c r="AJ22" s="1982">
        <f t="shared" si="0"/>
        <v>6885.3499999999995</v>
      </c>
      <c r="AK22" s="1983">
        <v>0</v>
      </c>
      <c r="AL22" s="1983">
        <v>0</v>
      </c>
      <c r="AM22" s="1983">
        <v>0</v>
      </c>
      <c r="AN22" s="1983">
        <v>312.5</v>
      </c>
      <c r="AO22" s="1983">
        <v>708</v>
      </c>
      <c r="AP22" s="1983">
        <v>797</v>
      </c>
      <c r="AQ22" s="1983">
        <v>540.5</v>
      </c>
      <c r="AR22" s="1984">
        <v>632</v>
      </c>
      <c r="AS22" s="1984">
        <v>705.5</v>
      </c>
      <c r="AT22" s="1984">
        <v>408.5</v>
      </c>
      <c r="AU22" s="1984">
        <v>0</v>
      </c>
      <c r="AV22" s="1985">
        <v>0</v>
      </c>
      <c r="AW22" s="1986">
        <v>899</v>
      </c>
      <c r="AX22" s="1986">
        <v>444.5</v>
      </c>
      <c r="AY22" s="1986">
        <v>1147.75</v>
      </c>
      <c r="AZ22" s="1986">
        <v>1260.5</v>
      </c>
      <c r="BA22" s="1986">
        <v>426</v>
      </c>
      <c r="BB22" s="1987">
        <v>460</v>
      </c>
      <c r="BC22" s="1988">
        <v>317.5</v>
      </c>
      <c r="BD22" s="1986">
        <v>299.45600000000007</v>
      </c>
      <c r="BE22" s="1986">
        <v>202.89999999999998</v>
      </c>
      <c r="BF22" s="2384">
        <v>137.80000000000001</v>
      </c>
      <c r="BG22" s="2427">
        <v>0</v>
      </c>
      <c r="BH22" s="2334">
        <v>0</v>
      </c>
      <c r="BI22" s="2334">
        <v>0</v>
      </c>
      <c r="BJ22" s="2334">
        <v>1040.2000000000003</v>
      </c>
      <c r="BK22" s="2334">
        <v>1263.4000000000001</v>
      </c>
      <c r="BL22" s="2334">
        <v>1068.3999999999999</v>
      </c>
      <c r="BM22" s="2334">
        <v>1028.4000000000001</v>
      </c>
      <c r="BN22" s="2334">
        <v>950.3</v>
      </c>
      <c r="BO22" s="2335">
        <v>171.5</v>
      </c>
      <c r="BP22" s="2335">
        <v>0</v>
      </c>
      <c r="BQ22" s="2335">
        <v>0</v>
      </c>
      <c r="BR22" s="2428">
        <v>0</v>
      </c>
      <c r="BS22" s="2600"/>
      <c r="BT22" s="2623"/>
      <c r="BU22" s="2623">
        <v>0</v>
      </c>
      <c r="BV22" s="2623">
        <f>+'02_CONSUMO COMBUSTIBLE'!F109</f>
        <v>0</v>
      </c>
      <c r="BW22" s="2623">
        <v>0</v>
      </c>
      <c r="BX22" s="2623">
        <v>0</v>
      </c>
      <c r="BY22" s="2402">
        <f>SUM(BG22:BR22)</f>
        <v>5522.2</v>
      </c>
      <c r="BZ22" s="1939"/>
      <c r="CA22" s="1940"/>
    </row>
    <row r="23" spans="1:79" ht="13.5" thickBot="1">
      <c r="A23" s="2830"/>
      <c r="B23" s="2909"/>
      <c r="C23" s="2912"/>
      <c r="D23" s="2915"/>
      <c r="E23" s="2918"/>
      <c r="F23" s="2921"/>
      <c r="G23" s="2924"/>
      <c r="H23" s="1989" t="s">
        <v>214</v>
      </c>
      <c r="I23" s="1933">
        <f t="shared" ref="I23:AI23" si="6">SUM(I18:I22)</f>
        <v>281960</v>
      </c>
      <c r="J23" s="1934">
        <f t="shared" si="6"/>
        <v>229115</v>
      </c>
      <c r="K23" s="1934">
        <f t="shared" si="6"/>
        <v>182903</v>
      </c>
      <c r="L23" s="1934">
        <f t="shared" si="6"/>
        <v>189563</v>
      </c>
      <c r="M23" s="1934">
        <f t="shared" si="6"/>
        <v>178358</v>
      </c>
      <c r="N23" s="1934">
        <f t="shared" si="6"/>
        <v>175882</v>
      </c>
      <c r="O23" s="1934">
        <f t="shared" si="6"/>
        <v>189831.5</v>
      </c>
      <c r="P23" s="1934">
        <f t="shared" si="6"/>
        <v>195710</v>
      </c>
      <c r="Q23" s="1935">
        <f t="shared" si="6"/>
        <v>270302</v>
      </c>
      <c r="R23" s="1933">
        <f t="shared" si="6"/>
        <v>271664</v>
      </c>
      <c r="S23" s="1934">
        <f t="shared" si="6"/>
        <v>292726</v>
      </c>
      <c r="T23" s="1934">
        <f t="shared" si="6"/>
        <v>344746</v>
      </c>
      <c r="U23" s="1934">
        <f t="shared" si="6"/>
        <v>310586.5</v>
      </c>
      <c r="V23" s="1934">
        <f t="shared" si="6"/>
        <v>298087</v>
      </c>
      <c r="W23" s="1934">
        <f t="shared" si="6"/>
        <v>255297</v>
      </c>
      <c r="X23" s="1934">
        <f t="shared" si="6"/>
        <v>241437</v>
      </c>
      <c r="Y23" s="1934">
        <f t="shared" si="6"/>
        <v>223843</v>
      </c>
      <c r="Z23" s="1934">
        <f t="shared" si="6"/>
        <v>190876</v>
      </c>
      <c r="AA23" s="1934">
        <f t="shared" si="6"/>
        <v>214460</v>
      </c>
      <c r="AB23" s="1934">
        <f t="shared" si="6"/>
        <v>233872</v>
      </c>
      <c r="AC23" s="1936">
        <f t="shared" si="6"/>
        <v>268159</v>
      </c>
      <c r="AD23" s="1937">
        <f t="shared" si="6"/>
        <v>284826</v>
      </c>
      <c r="AE23" s="1934">
        <f t="shared" si="6"/>
        <v>281408</v>
      </c>
      <c r="AF23" s="1934">
        <f t="shared" si="6"/>
        <v>337371</v>
      </c>
      <c r="AG23" s="1934">
        <f t="shared" si="6"/>
        <v>328156</v>
      </c>
      <c r="AH23" s="1934">
        <f t="shared" si="6"/>
        <v>321910</v>
      </c>
      <c r="AI23" s="1936">
        <f t="shared" si="6"/>
        <v>299434</v>
      </c>
      <c r="AJ23" s="1934">
        <f t="shared" si="0"/>
        <v>3225752</v>
      </c>
      <c r="AK23" s="1934">
        <f t="shared" ref="AK23:AX23" si="7">SUM(AK18:AK22)</f>
        <v>259662</v>
      </c>
      <c r="AL23" s="1934">
        <f t="shared" si="7"/>
        <v>215596</v>
      </c>
      <c r="AM23" s="1934">
        <f t="shared" si="7"/>
        <v>218189</v>
      </c>
      <c r="AN23" s="1934">
        <f t="shared" si="7"/>
        <v>234230</v>
      </c>
      <c r="AO23" s="1934">
        <f t="shared" si="7"/>
        <v>250902</v>
      </c>
      <c r="AP23" s="1934">
        <f t="shared" si="7"/>
        <v>309755</v>
      </c>
      <c r="AQ23" s="1934">
        <f t="shared" si="7"/>
        <v>326164</v>
      </c>
      <c r="AR23" s="1934">
        <f t="shared" si="7"/>
        <v>322186</v>
      </c>
      <c r="AS23" s="1934">
        <f t="shared" si="7"/>
        <v>373206</v>
      </c>
      <c r="AT23" s="1934">
        <f t="shared" si="7"/>
        <v>328041</v>
      </c>
      <c r="AU23" s="1936">
        <f t="shared" si="7"/>
        <v>303477</v>
      </c>
      <c r="AV23" s="1938">
        <f t="shared" si="7"/>
        <v>251847</v>
      </c>
      <c r="AW23" s="1934">
        <f t="shared" si="7"/>
        <v>228977</v>
      </c>
      <c r="AX23" s="1934">
        <f t="shared" si="7"/>
        <v>219021.74629297268</v>
      </c>
      <c r="AY23" s="1934">
        <f>SUM(AY18:AY22)</f>
        <v>226090</v>
      </c>
      <c r="AZ23" s="1934">
        <f>SUM(AZ18:AZ22)</f>
        <v>229382.02163050865</v>
      </c>
      <c r="BA23" s="1934">
        <f>SUM(BA18:BA22)</f>
        <v>230069</v>
      </c>
      <c r="BB23" s="1935">
        <f>SUM(BB18:BB22)</f>
        <v>270489</v>
      </c>
      <c r="BC23" s="1933">
        <f t="shared" ref="BC23:BR23" si="8">SUM(BC18:BC22)</f>
        <v>334268</v>
      </c>
      <c r="BD23" s="1934">
        <f t="shared" si="8"/>
        <v>339449.05599999998</v>
      </c>
      <c r="BE23" s="1934">
        <f t="shared" si="8"/>
        <v>374763.80000000005</v>
      </c>
      <c r="BF23" s="1936">
        <f t="shared" si="8"/>
        <v>356534.28339999996</v>
      </c>
      <c r="BG23" s="2327">
        <f t="shared" si="8"/>
        <v>316590.50651104352</v>
      </c>
      <c r="BH23" s="2328">
        <f t="shared" si="8"/>
        <v>257830.67420646269</v>
      </c>
      <c r="BI23" s="2328">
        <f t="shared" si="8"/>
        <v>259494.12918800901</v>
      </c>
      <c r="BJ23" s="2328">
        <f t="shared" si="8"/>
        <v>231308.92732540588</v>
      </c>
      <c r="BK23" s="2328">
        <f t="shared" si="8"/>
        <v>206224.64431417064</v>
      </c>
      <c r="BL23" s="2328">
        <f t="shared" si="8"/>
        <v>230765.26042196027</v>
      </c>
      <c r="BM23" s="2328">
        <f t="shared" si="8"/>
        <v>208241.37721326214</v>
      </c>
      <c r="BN23" s="2328">
        <f t="shared" si="8"/>
        <v>264774.35415599617</v>
      </c>
      <c r="BO23" s="2328">
        <f t="shared" si="8"/>
        <v>323202.35640721384</v>
      </c>
      <c r="BP23" s="2328">
        <f t="shared" si="8"/>
        <v>329664.98981339223</v>
      </c>
      <c r="BQ23" s="2328">
        <f t="shared" si="8"/>
        <v>357217.8642894763</v>
      </c>
      <c r="BR23" s="2329">
        <f t="shared" si="8"/>
        <v>345752.40272479743</v>
      </c>
      <c r="BS23" s="2329">
        <v>341152.17137711972</v>
      </c>
      <c r="BT23" s="2329">
        <v>263237.91826428042</v>
      </c>
      <c r="BU23" s="2329">
        <v>257789</v>
      </c>
      <c r="BV23" s="2329">
        <f>SUM(BV18:BV22)</f>
        <v>234225.6718628672</v>
      </c>
      <c r="BW23" s="2329">
        <v>241549.87097243816</v>
      </c>
      <c r="BX23" s="2329">
        <v>234225.6718628672</v>
      </c>
      <c r="BY23" s="2399">
        <f>SUM(AT23:BN23)</f>
        <v>5667638.780659792</v>
      </c>
      <c r="BZ23" s="1939"/>
      <c r="CA23" s="1940"/>
    </row>
    <row r="24" spans="1:79">
      <c r="A24" s="2886" t="s">
        <v>298</v>
      </c>
      <c r="B24" s="2889" t="s">
        <v>252</v>
      </c>
      <c r="C24" s="2892" t="s">
        <v>79</v>
      </c>
      <c r="D24" s="2895" t="s">
        <v>80</v>
      </c>
      <c r="E24" s="2898" t="s">
        <v>10</v>
      </c>
      <c r="F24" s="2901" t="s">
        <v>81</v>
      </c>
      <c r="G24" s="2877" t="s">
        <v>12</v>
      </c>
      <c r="H24" s="1990" t="s">
        <v>0</v>
      </c>
      <c r="I24" s="1991">
        <v>1500.713</v>
      </c>
      <c r="J24" s="1992">
        <v>1312.0709999999999</v>
      </c>
      <c r="K24" s="1992">
        <v>1242.1130000000001</v>
      </c>
      <c r="L24" s="1992">
        <v>1166.231</v>
      </c>
      <c r="M24" s="1992">
        <v>1163.789</v>
      </c>
      <c r="N24" s="1992">
        <v>1138.6989999999998</v>
      </c>
      <c r="O24" s="1992">
        <v>1129.202</v>
      </c>
      <c r="P24" s="1992">
        <v>1212.5600000000002</v>
      </c>
      <c r="Q24" s="1993">
        <v>1250.2540000000001</v>
      </c>
      <c r="R24" s="1991">
        <v>1455.6120000000001</v>
      </c>
      <c r="S24" s="1992">
        <v>1533.1979999999999</v>
      </c>
      <c r="T24" s="1992">
        <v>1708.0129999999999</v>
      </c>
      <c r="U24" s="1992">
        <v>1653.7649999999999</v>
      </c>
      <c r="V24" s="1994">
        <v>1663.383</v>
      </c>
      <c r="W24" s="1948">
        <v>1471.77</v>
      </c>
      <c r="X24" s="1948">
        <v>1397.104</v>
      </c>
      <c r="Y24" s="1995">
        <v>1329.635</v>
      </c>
      <c r="Z24" s="1948">
        <v>1239.413</v>
      </c>
      <c r="AA24" s="1949">
        <v>1234.2429999999999</v>
      </c>
      <c r="AB24" s="1949">
        <v>1265.5559999999998</v>
      </c>
      <c r="AC24" s="1950">
        <v>1428.0910000000001</v>
      </c>
      <c r="AD24" s="1951">
        <v>1515.644</v>
      </c>
      <c r="AE24" s="1952">
        <v>1472.9870000000001</v>
      </c>
      <c r="AF24" s="1952">
        <v>1711.117</v>
      </c>
      <c r="AG24" s="1952">
        <v>1674.1890000000001</v>
      </c>
      <c r="AH24" s="1948">
        <v>1755.8729999999998</v>
      </c>
      <c r="AI24" s="1950">
        <v>1633.6789999999999</v>
      </c>
      <c r="AJ24" s="1996">
        <f t="shared" si="0"/>
        <v>17657.530999999999</v>
      </c>
      <c r="AK24" s="1953">
        <v>1552.4459999999999</v>
      </c>
      <c r="AL24" s="1953">
        <v>1399.4759999999999</v>
      </c>
      <c r="AM24" s="1953">
        <v>1337.1229999999998</v>
      </c>
      <c r="AN24" s="1953">
        <v>1385.6210000000001</v>
      </c>
      <c r="AO24" s="1953">
        <v>1351.2560000000001</v>
      </c>
      <c r="AP24" s="1953">
        <v>1599.3019999999999</v>
      </c>
      <c r="AQ24" s="1953">
        <v>1639.0450000000001</v>
      </c>
      <c r="AR24" s="1954">
        <v>1750.2980000000002</v>
      </c>
      <c r="AS24" s="1954">
        <v>1811.5530000000001</v>
      </c>
      <c r="AT24" s="1954">
        <v>1815.5940000000001</v>
      </c>
      <c r="AU24" s="1954">
        <v>1591.5709999999999</v>
      </c>
      <c r="AV24" s="1997">
        <v>1488.1560000000002</v>
      </c>
      <c r="AW24" s="1998">
        <v>1346.0709999999999</v>
      </c>
      <c r="AX24" s="1998">
        <v>1313.72</v>
      </c>
      <c r="AY24" s="1998">
        <v>1291.71</v>
      </c>
      <c r="AZ24" s="1998">
        <v>1313.12</v>
      </c>
      <c r="BA24" s="1998">
        <v>1298.78</v>
      </c>
      <c r="BB24" s="1999">
        <v>1398.6719999999998</v>
      </c>
      <c r="BC24" s="2000">
        <v>1662.05</v>
      </c>
      <c r="BD24" s="1998">
        <v>1874.5330000000001</v>
      </c>
      <c r="BE24" s="1998">
        <v>1825.607</v>
      </c>
      <c r="BF24" s="2385">
        <v>2065.3420000000001</v>
      </c>
      <c r="BG24" s="2429">
        <v>1811.9700000000003</v>
      </c>
      <c r="BH24" s="2337">
        <v>1578.7269999999999</v>
      </c>
      <c r="BI24" s="2337">
        <v>1420.953</v>
      </c>
      <c r="BJ24" s="2337">
        <v>1357.2520000000002</v>
      </c>
      <c r="BK24" s="2337">
        <v>1343.4650000000001</v>
      </c>
      <c r="BL24" s="2337">
        <v>1348.04</v>
      </c>
      <c r="BM24" s="2337">
        <v>1418.9110000000001</v>
      </c>
      <c r="BN24" s="2337">
        <v>1358.095</v>
      </c>
      <c r="BO24" s="2338">
        <v>1626.53</v>
      </c>
      <c r="BP24" s="2338">
        <v>1957.2510000000002</v>
      </c>
      <c r="BQ24" s="2338">
        <v>1803.7949999999998</v>
      </c>
      <c r="BR24" s="2430">
        <v>1883.5219999999999</v>
      </c>
      <c r="BS24" s="2601">
        <v>1996.931</v>
      </c>
      <c r="BT24" s="2624">
        <v>1606.4649999999999</v>
      </c>
      <c r="BU24" s="2624">
        <v>1490.5239999999999</v>
      </c>
      <c r="BV24" s="2624">
        <f>+'03_MWh CONSUMIDA'!B109</f>
        <v>1465.84</v>
      </c>
      <c r="BW24" s="2624">
        <v>1537.7949999999998</v>
      </c>
      <c r="BX24" s="2624">
        <v>1465.84</v>
      </c>
      <c r="BY24" s="2403">
        <f>SUM(BG24:BR24)</f>
        <v>18908.510999999999</v>
      </c>
      <c r="BZ24" s="2001"/>
      <c r="CA24" s="1940"/>
    </row>
    <row r="25" spans="1:79">
      <c r="A25" s="2887"/>
      <c r="B25" s="2890"/>
      <c r="C25" s="2893"/>
      <c r="D25" s="2896"/>
      <c r="E25" s="2899"/>
      <c r="F25" s="2902"/>
      <c r="G25" s="2878"/>
      <c r="H25" s="2002" t="s">
        <v>1</v>
      </c>
      <c r="I25" s="1892">
        <v>1304.8600000000001</v>
      </c>
      <c r="J25" s="1893">
        <v>1042.0320000000002</v>
      </c>
      <c r="K25" s="1893">
        <v>974.95900000000006</v>
      </c>
      <c r="L25" s="1893">
        <v>900.57000000000016</v>
      </c>
      <c r="M25" s="1893">
        <v>892.43499999999995</v>
      </c>
      <c r="N25" s="1893">
        <v>812.39800000000002</v>
      </c>
      <c r="O25" s="1893">
        <v>827.78700000000003</v>
      </c>
      <c r="P25" s="1893">
        <v>891.67</v>
      </c>
      <c r="Q25" s="1894">
        <v>935.5630000000001</v>
      </c>
      <c r="R25" s="1892">
        <v>1182.6869999999999</v>
      </c>
      <c r="S25" s="1893">
        <v>1244.9019999999998</v>
      </c>
      <c r="T25" s="1893">
        <v>1389.0070000000001</v>
      </c>
      <c r="U25" s="1893">
        <v>1314.2070000000001</v>
      </c>
      <c r="V25" s="2003">
        <v>1367.2359999999999</v>
      </c>
      <c r="W25" s="2004">
        <v>1216.297</v>
      </c>
      <c r="X25" s="2004">
        <v>1159.299</v>
      </c>
      <c r="Y25" s="2005">
        <v>1083.2570000000001</v>
      </c>
      <c r="Z25" s="2004">
        <v>952.88999999999987</v>
      </c>
      <c r="AA25" s="2006">
        <v>978.12200000000007</v>
      </c>
      <c r="AB25" s="2006">
        <v>1020.922</v>
      </c>
      <c r="AC25" s="2007">
        <v>1142.2570000000001</v>
      </c>
      <c r="AD25" s="2008">
        <v>1261.886</v>
      </c>
      <c r="AE25" s="2004">
        <v>1214.9759999999999</v>
      </c>
      <c r="AF25" s="2004">
        <v>1458.15</v>
      </c>
      <c r="AG25" s="2004">
        <v>1468.499</v>
      </c>
      <c r="AH25" s="2004">
        <v>1423.8050000000001</v>
      </c>
      <c r="AI25" s="2007">
        <v>1297.509</v>
      </c>
      <c r="AJ25" s="1996">
        <f t="shared" si="0"/>
        <v>14461.572</v>
      </c>
      <c r="AK25" s="2009">
        <v>1422.596</v>
      </c>
      <c r="AL25" s="2009">
        <v>1268.0730000000001</v>
      </c>
      <c r="AM25" s="2009">
        <v>1159.817</v>
      </c>
      <c r="AN25" s="2009">
        <v>1194.3910000000001</v>
      </c>
      <c r="AO25" s="2009">
        <v>1123.9860000000001</v>
      </c>
      <c r="AP25" s="2009">
        <v>1393.6129999999998</v>
      </c>
      <c r="AQ25" s="2009">
        <v>1450.8150000000001</v>
      </c>
      <c r="AR25" s="1954">
        <v>1578.444</v>
      </c>
      <c r="AS25" s="1954">
        <v>1654.3530000000001</v>
      </c>
      <c r="AT25" s="1954">
        <v>1700.7249999999999</v>
      </c>
      <c r="AU25" s="1954">
        <v>1417.0189999999998</v>
      </c>
      <c r="AV25" s="2010">
        <v>1362.789</v>
      </c>
      <c r="AW25" s="2011">
        <v>1256.5049999999999</v>
      </c>
      <c r="AX25" s="2011">
        <v>1224.07</v>
      </c>
      <c r="AY25" s="2011">
        <v>1139.8900000000001</v>
      </c>
      <c r="AZ25" s="2011">
        <v>1124.57</v>
      </c>
      <c r="BA25" s="2011">
        <v>1141.3</v>
      </c>
      <c r="BB25" s="2012">
        <v>1274.806</v>
      </c>
      <c r="BC25" s="2013">
        <v>1549.124</v>
      </c>
      <c r="BD25" s="2011">
        <v>1688.4010000000001</v>
      </c>
      <c r="BE25" s="2011">
        <v>1664.5710000000001</v>
      </c>
      <c r="BF25" s="2386">
        <v>1892.625</v>
      </c>
      <c r="BG25" s="2431">
        <v>1649.748</v>
      </c>
      <c r="BH25" s="2339">
        <v>1483.7080000000001</v>
      </c>
      <c r="BI25" s="2339">
        <v>1334.402</v>
      </c>
      <c r="BJ25" s="2339">
        <v>1250.374</v>
      </c>
      <c r="BK25" s="2339">
        <v>1158.4349999999999</v>
      </c>
      <c r="BL25" s="2339">
        <v>1172.9780000000001</v>
      </c>
      <c r="BM25" s="2339">
        <v>1312.134</v>
      </c>
      <c r="BN25" s="2339">
        <v>1258.1089999999999</v>
      </c>
      <c r="BO25" s="2340">
        <v>1609.1679999999999</v>
      </c>
      <c r="BP25" s="2340">
        <v>1904.3939999999998</v>
      </c>
      <c r="BQ25" s="2340">
        <v>1816.278</v>
      </c>
      <c r="BR25" s="2432">
        <v>1930.249</v>
      </c>
      <c r="BS25" s="2602">
        <v>1971.0269999999998</v>
      </c>
      <c r="BT25" s="946">
        <v>1646.4390000000001</v>
      </c>
      <c r="BU25" s="946">
        <v>1541.0830000000001</v>
      </c>
      <c r="BV25" s="946">
        <f>+'03_MWh CONSUMIDA'!C109</f>
        <v>1460.14</v>
      </c>
      <c r="BW25" s="946">
        <v>1593.5</v>
      </c>
      <c r="BX25" s="946">
        <v>1460.14</v>
      </c>
      <c r="BY25" s="2404">
        <f>SUM(BG25:BR25)</f>
        <v>17879.976999999999</v>
      </c>
      <c r="BZ25" s="2001"/>
      <c r="CA25" s="1940"/>
    </row>
    <row r="26" spans="1:79" s="1868" customFormat="1">
      <c r="A26" s="2887"/>
      <c r="B26" s="2890"/>
      <c r="C26" s="2893"/>
      <c r="D26" s="2896"/>
      <c r="E26" s="2899"/>
      <c r="F26" s="2902"/>
      <c r="G26" s="2878"/>
      <c r="H26" s="2002" t="s">
        <v>2</v>
      </c>
      <c r="I26" s="1892">
        <v>32.65</v>
      </c>
      <c r="J26" s="1893">
        <v>30.222999999999999</v>
      </c>
      <c r="K26" s="1893">
        <v>31.536999999999999</v>
      </c>
      <c r="L26" s="1893">
        <v>29.698999999999998</v>
      </c>
      <c r="M26" s="1893">
        <v>25.913</v>
      </c>
      <c r="N26" s="1893">
        <v>28.652999999999999</v>
      </c>
      <c r="O26" s="1893">
        <v>27.988</v>
      </c>
      <c r="P26" s="1893">
        <v>29.600999999999999</v>
      </c>
      <c r="Q26" s="1894">
        <v>30.341999999999999</v>
      </c>
      <c r="R26" s="1892">
        <v>31.733000000000004</v>
      </c>
      <c r="S26" s="1893">
        <v>34.204999999999998</v>
      </c>
      <c r="T26" s="1893">
        <v>35.975999999999999</v>
      </c>
      <c r="U26" s="1893">
        <v>32.991000000000007</v>
      </c>
      <c r="V26" s="2003">
        <v>35.884999999999998</v>
      </c>
      <c r="W26" s="2004">
        <v>31.527000000000001</v>
      </c>
      <c r="X26" s="2004">
        <v>31.912000000000003</v>
      </c>
      <c r="Y26" s="2005">
        <v>34.08</v>
      </c>
      <c r="Z26" s="2004">
        <v>26.439</v>
      </c>
      <c r="AA26" s="2006">
        <v>27.259999999999998</v>
      </c>
      <c r="AB26" s="2006">
        <v>26.851999999999997</v>
      </c>
      <c r="AC26" s="2007">
        <v>28.379000000000001</v>
      </c>
      <c r="AD26" s="2008">
        <v>30.251999999999995</v>
      </c>
      <c r="AE26" s="2004">
        <v>27.664999999999999</v>
      </c>
      <c r="AF26" s="2004">
        <v>32.61</v>
      </c>
      <c r="AG26" s="2004">
        <v>34.382999999999996</v>
      </c>
      <c r="AH26" s="2004">
        <v>32.323999999999998</v>
      </c>
      <c r="AI26" s="2007">
        <v>30.385000000000002</v>
      </c>
      <c r="AJ26" s="1996">
        <f t="shared" si="0"/>
        <v>362.54099999999994</v>
      </c>
      <c r="AK26" s="2009">
        <v>30.216000000000001</v>
      </c>
      <c r="AL26" s="2009">
        <v>30.829000000000001</v>
      </c>
      <c r="AM26" s="2009">
        <v>29.630999999999997</v>
      </c>
      <c r="AN26" s="2009">
        <v>28.986999999999998</v>
      </c>
      <c r="AO26" s="2009">
        <v>26.93</v>
      </c>
      <c r="AP26" s="2009">
        <v>32.050000000000004</v>
      </c>
      <c r="AQ26" s="2009">
        <v>27.105</v>
      </c>
      <c r="AR26" s="1954">
        <v>32.760000000000005</v>
      </c>
      <c r="AS26" s="1954">
        <v>34.736000000000004</v>
      </c>
      <c r="AT26" s="1954">
        <v>33.231999999999999</v>
      </c>
      <c r="AU26" s="1954">
        <v>33.278999999999996</v>
      </c>
      <c r="AV26" s="2010">
        <v>34.445</v>
      </c>
      <c r="AW26" s="2014">
        <v>31.245000000000001</v>
      </c>
      <c r="AX26" s="2014">
        <v>33.92</v>
      </c>
      <c r="AY26" s="2014">
        <v>33.44</v>
      </c>
      <c r="AZ26" s="2014">
        <v>35.68</v>
      </c>
      <c r="BA26" s="2014">
        <v>33.86</v>
      </c>
      <c r="BB26" s="2015">
        <v>36.278999999999996</v>
      </c>
      <c r="BC26" s="2013">
        <v>37.542000000000002</v>
      </c>
      <c r="BD26" s="2014">
        <v>38.498999999999995</v>
      </c>
      <c r="BE26" s="2014">
        <v>35.213000000000001</v>
      </c>
      <c r="BF26" s="2387">
        <v>41.523000000000003</v>
      </c>
      <c r="BG26" s="2431">
        <v>36.163000000000004</v>
      </c>
      <c r="BH26" s="2341">
        <v>41.515000000000001</v>
      </c>
      <c r="BI26" s="2341">
        <v>41.968000000000004</v>
      </c>
      <c r="BJ26" s="2341">
        <v>40.731000000000002</v>
      </c>
      <c r="BK26" s="2341">
        <v>37.655000000000001</v>
      </c>
      <c r="BL26" s="2341">
        <v>33.322000000000003</v>
      </c>
      <c r="BM26" s="2341">
        <v>35.759</v>
      </c>
      <c r="BN26" s="2341">
        <v>34.092000000000006</v>
      </c>
      <c r="BO26" s="2342">
        <v>36.231000000000009</v>
      </c>
      <c r="BP26" s="2342">
        <v>38.276000000000003</v>
      </c>
      <c r="BQ26" s="2342">
        <v>36.855999999999995</v>
      </c>
      <c r="BR26" s="2433">
        <v>43.394000000000005</v>
      </c>
      <c r="BS26" s="2603">
        <v>41.949000000000005</v>
      </c>
      <c r="BT26" s="2625">
        <v>38.097999999999999</v>
      </c>
      <c r="BU26" s="2625">
        <v>34.959000000000003</v>
      </c>
      <c r="BV26" s="2625">
        <f>+'03_MWh CONSUMIDA'!D109</f>
        <v>37.22</v>
      </c>
      <c r="BW26" s="2625">
        <v>36.722000000000008</v>
      </c>
      <c r="BX26" s="2625">
        <v>37.22</v>
      </c>
      <c r="BY26" s="2405">
        <f>SUM(BG26:BR26)</f>
        <v>455.96199999999999</v>
      </c>
      <c r="BZ26" s="2001"/>
      <c r="CA26" s="1940"/>
    </row>
    <row r="27" spans="1:79">
      <c r="A27" s="2887"/>
      <c r="B27" s="2890"/>
      <c r="C27" s="2893"/>
      <c r="D27" s="2896"/>
      <c r="E27" s="2899"/>
      <c r="F27" s="2902"/>
      <c r="G27" s="2878"/>
      <c r="H27" s="2002" t="s">
        <v>82</v>
      </c>
      <c r="I27" s="1892">
        <v>113.637</v>
      </c>
      <c r="J27" s="1893">
        <v>112.46199999999999</v>
      </c>
      <c r="K27" s="1893">
        <v>113.94799999999999</v>
      </c>
      <c r="L27" s="1893">
        <v>114.22999999999999</v>
      </c>
      <c r="M27" s="1893">
        <v>112.422</v>
      </c>
      <c r="N27" s="1893">
        <v>113.86499999999999</v>
      </c>
      <c r="O27" s="1893">
        <v>112.09399999999999</v>
      </c>
      <c r="P27" s="1893">
        <v>123.77799999999999</v>
      </c>
      <c r="Q27" s="1894">
        <v>116.52800000000001</v>
      </c>
      <c r="R27" s="1892">
        <v>110.67699999999999</v>
      </c>
      <c r="S27" s="1893">
        <v>109.17099999999999</v>
      </c>
      <c r="T27" s="1893">
        <v>109.29899999999999</v>
      </c>
      <c r="U27" s="1893">
        <v>106.71700000000001</v>
      </c>
      <c r="V27" s="2003">
        <v>120.352</v>
      </c>
      <c r="W27" s="2004">
        <v>119.392</v>
      </c>
      <c r="X27" s="2004">
        <v>143.20599999999999</v>
      </c>
      <c r="Y27" s="2005">
        <v>139.54599999999999</v>
      </c>
      <c r="Z27" s="2004">
        <v>136.17000000000002</v>
      </c>
      <c r="AA27" s="2006">
        <v>152.553</v>
      </c>
      <c r="AB27" s="2006">
        <v>153.916</v>
      </c>
      <c r="AC27" s="2007">
        <v>175.721</v>
      </c>
      <c r="AD27" s="2008">
        <v>250.197</v>
      </c>
      <c r="AE27" s="2004">
        <v>260.67699999999996</v>
      </c>
      <c r="AF27" s="2004">
        <v>252.15200000000002</v>
      </c>
      <c r="AG27" s="2004">
        <v>262.49700000000001</v>
      </c>
      <c r="AH27" s="2016">
        <v>178.154</v>
      </c>
      <c r="AI27" s="2017">
        <v>178.94300000000001</v>
      </c>
      <c r="AJ27" s="1996">
        <f t="shared" si="0"/>
        <v>2283.732</v>
      </c>
      <c r="AK27" s="2018">
        <v>181.73200000000003</v>
      </c>
      <c r="AL27" s="2018">
        <v>172.441</v>
      </c>
      <c r="AM27" s="2018">
        <v>166.142</v>
      </c>
      <c r="AN27" s="2018">
        <v>158.49300000000002</v>
      </c>
      <c r="AO27" s="2018">
        <v>157.46799999999999</v>
      </c>
      <c r="AP27" s="2018">
        <v>169.06800000000001</v>
      </c>
      <c r="AQ27" s="2018">
        <v>169.79900000000001</v>
      </c>
      <c r="AR27" s="2019">
        <v>175.12899999999999</v>
      </c>
      <c r="AS27" s="2019">
        <v>162.25300000000001</v>
      </c>
      <c r="AT27" s="2019">
        <v>156.90200000000002</v>
      </c>
      <c r="AU27" s="2019">
        <v>152.452</v>
      </c>
      <c r="AV27" s="2010">
        <v>178.62299999999999</v>
      </c>
      <c r="AW27" s="2014">
        <v>164.452</v>
      </c>
      <c r="AX27" s="2014">
        <v>162.71</v>
      </c>
      <c r="AY27" s="2014">
        <v>165.7</v>
      </c>
      <c r="AZ27" s="2014">
        <v>162.63999999999999</v>
      </c>
      <c r="BA27" s="2014">
        <v>164.5</v>
      </c>
      <c r="BB27" s="2015">
        <v>169.38900000000001</v>
      </c>
      <c r="BC27" s="2013">
        <v>157.73499999999999</v>
      </c>
      <c r="BD27" s="2014">
        <v>228.86</v>
      </c>
      <c r="BE27" s="2014">
        <v>162.23499999999999</v>
      </c>
      <c r="BF27" s="2387">
        <v>215.55100000000002</v>
      </c>
      <c r="BG27" s="2431">
        <v>167.73599999999999</v>
      </c>
      <c r="BH27" s="2341">
        <v>151.26900000000001</v>
      </c>
      <c r="BI27" s="2341">
        <v>148.036</v>
      </c>
      <c r="BJ27" s="2341">
        <v>144.58199999999999</v>
      </c>
      <c r="BK27" s="2341">
        <v>150.744</v>
      </c>
      <c r="BL27" s="2341">
        <v>145.62200000000001</v>
      </c>
      <c r="BM27" s="2341">
        <v>154.59</v>
      </c>
      <c r="BN27" s="2341">
        <v>154.12800000000001</v>
      </c>
      <c r="BO27" s="2340">
        <v>145.923</v>
      </c>
      <c r="BP27" s="2340">
        <v>162.102</v>
      </c>
      <c r="BQ27" s="2340">
        <v>155.358</v>
      </c>
      <c r="BR27" s="2432">
        <v>161.934</v>
      </c>
      <c r="BS27" s="2602">
        <v>158.31699999999998</v>
      </c>
      <c r="BT27" s="946">
        <v>157.65</v>
      </c>
      <c r="BU27" s="946">
        <v>156.92500000000001</v>
      </c>
      <c r="BV27" s="946">
        <f>+'03_MWh CONSUMIDA'!E109</f>
        <v>157</v>
      </c>
      <c r="BW27" s="946">
        <v>152.33199999999999</v>
      </c>
      <c r="BX27" s="946">
        <v>157</v>
      </c>
      <c r="BY27" s="2404">
        <f>SUM(BG27:BR27)</f>
        <v>1842.0239999999999</v>
      </c>
      <c r="BZ27" s="2001"/>
      <c r="CA27" s="1940"/>
    </row>
    <row r="28" spans="1:79" ht="13.5" thickBot="1">
      <c r="A28" s="2887"/>
      <c r="B28" s="2890"/>
      <c r="C28" s="2893"/>
      <c r="D28" s="2896"/>
      <c r="E28" s="2899"/>
      <c r="F28" s="2902"/>
      <c r="G28" s="2878"/>
      <c r="H28" s="2020" t="s">
        <v>4</v>
      </c>
      <c r="I28" s="1915">
        <v>777.28899999999999</v>
      </c>
      <c r="J28" s="1916">
        <v>629.03800000000001</v>
      </c>
      <c r="K28" s="1916">
        <v>593.05699999999979</v>
      </c>
      <c r="L28" s="1916">
        <v>481.78000000000003</v>
      </c>
      <c r="M28" s="1916">
        <v>478.072</v>
      </c>
      <c r="N28" s="1916">
        <v>445.94300000000004</v>
      </c>
      <c r="O28" s="1916">
        <v>476.00999999999993</v>
      </c>
      <c r="P28" s="1916">
        <v>530.43000000000006</v>
      </c>
      <c r="Q28" s="1917">
        <v>632.2639999999999</v>
      </c>
      <c r="R28" s="1915">
        <v>688.52</v>
      </c>
      <c r="S28" s="1916">
        <v>741.76800000000003</v>
      </c>
      <c r="T28" s="1916">
        <v>859.24400000000014</v>
      </c>
      <c r="U28" s="1916">
        <v>721.78299999999979</v>
      </c>
      <c r="V28" s="2021">
        <v>774.05600000000027</v>
      </c>
      <c r="W28" s="2022">
        <v>694.57599999999991</v>
      </c>
      <c r="X28" s="2022">
        <v>719.79800000000012</v>
      </c>
      <c r="Y28" s="2023">
        <v>674.40199999999993</v>
      </c>
      <c r="Z28" s="2022">
        <v>619.298</v>
      </c>
      <c r="AA28" s="2024">
        <v>660.44399999999996</v>
      </c>
      <c r="AB28" s="2024">
        <v>705.23799999999994</v>
      </c>
      <c r="AC28" s="2025">
        <v>845.32200000000023</v>
      </c>
      <c r="AD28" s="2026">
        <v>839.048</v>
      </c>
      <c r="AE28" s="2022">
        <v>836.48200000000008</v>
      </c>
      <c r="AF28" s="2022">
        <v>1030.4709999999998</v>
      </c>
      <c r="AG28" s="2022">
        <v>967.82700000000011</v>
      </c>
      <c r="AH28" s="2022">
        <v>1055.2989999999998</v>
      </c>
      <c r="AI28" s="2025">
        <v>1009.3660000000002</v>
      </c>
      <c r="AJ28" s="2027">
        <f t="shared" si="0"/>
        <v>9962.994999999999</v>
      </c>
      <c r="AK28" s="2028">
        <v>991.08100000000002</v>
      </c>
      <c r="AL28" s="2028">
        <v>870.81399999999996</v>
      </c>
      <c r="AM28" s="2028">
        <v>864.95699999999999</v>
      </c>
      <c r="AN28" s="2028">
        <v>854.13199999999995</v>
      </c>
      <c r="AO28" s="2028">
        <v>820.26299999999992</v>
      </c>
      <c r="AP28" s="2028">
        <v>1006.6130000000002</v>
      </c>
      <c r="AQ28" s="2028">
        <v>912.17000000000007</v>
      </c>
      <c r="AR28" s="2029">
        <v>969.54299999999989</v>
      </c>
      <c r="AS28" s="2029">
        <v>1020.1229999999999</v>
      </c>
      <c r="AT28" s="2029">
        <v>1041.4269999999997</v>
      </c>
      <c r="AU28" s="2029">
        <v>916.32699999999988</v>
      </c>
      <c r="AV28" s="2030">
        <v>861.596</v>
      </c>
      <c r="AW28" s="2031">
        <v>836.36299999999983</v>
      </c>
      <c r="AX28" s="2031">
        <v>746</v>
      </c>
      <c r="AY28" s="2031">
        <v>691.89</v>
      </c>
      <c r="AZ28" s="2031">
        <v>727.25</v>
      </c>
      <c r="BA28" s="2031">
        <v>713.59</v>
      </c>
      <c r="BB28" s="2032">
        <v>803.601</v>
      </c>
      <c r="BC28" s="2033">
        <v>1002.2089999999997</v>
      </c>
      <c r="BD28" s="2031">
        <v>1162.9980000000005</v>
      </c>
      <c r="BE28" s="2031">
        <v>998.69800000000009</v>
      </c>
      <c r="BF28" s="2388">
        <v>1172.3740000000005</v>
      </c>
      <c r="BG28" s="2434">
        <v>999.87799999999993</v>
      </c>
      <c r="BH28" s="2343">
        <v>939.25500000000011</v>
      </c>
      <c r="BI28" s="2343">
        <v>849.3570000000002</v>
      </c>
      <c r="BJ28" s="2343">
        <v>814.25800000000015</v>
      </c>
      <c r="BK28" s="2343">
        <v>766.73799999999983</v>
      </c>
      <c r="BL28" s="2343">
        <v>745.35199999999986</v>
      </c>
      <c r="BM28" s="2343">
        <v>733.8570000000002</v>
      </c>
      <c r="BN28" s="2343">
        <v>608.60099999999989</v>
      </c>
      <c r="BO28" s="2344">
        <v>786.70299999999975</v>
      </c>
      <c r="BP28" s="2344">
        <v>887.80999999999983</v>
      </c>
      <c r="BQ28" s="2344">
        <v>950.12400000000014</v>
      </c>
      <c r="BR28" s="2435">
        <v>922.32199999999978</v>
      </c>
      <c r="BS28" s="2602">
        <v>922.50499999999977</v>
      </c>
      <c r="BT28" s="894">
        <v>690.43499999999995</v>
      </c>
      <c r="BU28" s="894">
        <v>556.76400000000001</v>
      </c>
      <c r="BV28" s="894">
        <f>+'03_MWh CONSUMIDA'!F109</f>
        <v>567.11</v>
      </c>
      <c r="BW28" s="894">
        <v>572.02300000000002</v>
      </c>
      <c r="BX28" s="894">
        <v>567.11</v>
      </c>
      <c r="BY28" s="2406">
        <f>SUM(BG28:BR28)</f>
        <v>10004.254999999999</v>
      </c>
      <c r="BZ28" s="2001"/>
      <c r="CA28" s="1940"/>
    </row>
    <row r="29" spans="1:79" ht="13.5" thickBot="1">
      <c r="A29" s="2888"/>
      <c r="B29" s="2891"/>
      <c r="C29" s="2894"/>
      <c r="D29" s="2897"/>
      <c r="E29" s="2900"/>
      <c r="F29" s="2903"/>
      <c r="G29" s="2879"/>
      <c r="H29" s="2034" t="s">
        <v>214</v>
      </c>
      <c r="I29" s="2035">
        <f t="shared" ref="I29:AI29" si="9">SUM(I24:I28)</f>
        <v>3729.1490000000003</v>
      </c>
      <c r="J29" s="2036">
        <f t="shared" si="9"/>
        <v>3125.826</v>
      </c>
      <c r="K29" s="2036">
        <f t="shared" si="9"/>
        <v>2955.6139999999996</v>
      </c>
      <c r="L29" s="2036">
        <f t="shared" si="9"/>
        <v>2692.5100000000007</v>
      </c>
      <c r="M29" s="2036">
        <f t="shared" si="9"/>
        <v>2672.6310000000003</v>
      </c>
      <c r="N29" s="2036">
        <f t="shared" si="9"/>
        <v>2539.558</v>
      </c>
      <c r="O29" s="2036">
        <f t="shared" si="9"/>
        <v>2573.0809999999997</v>
      </c>
      <c r="P29" s="2036">
        <f t="shared" si="9"/>
        <v>2788.0389999999998</v>
      </c>
      <c r="Q29" s="2037">
        <f t="shared" si="9"/>
        <v>2964.951</v>
      </c>
      <c r="R29" s="2035">
        <f t="shared" si="9"/>
        <v>3469.2290000000003</v>
      </c>
      <c r="S29" s="2036">
        <f t="shared" si="9"/>
        <v>3663.2439999999992</v>
      </c>
      <c r="T29" s="2036">
        <f t="shared" si="9"/>
        <v>4101.5390000000007</v>
      </c>
      <c r="U29" s="2036">
        <f t="shared" si="9"/>
        <v>3829.4629999999997</v>
      </c>
      <c r="V29" s="2036">
        <f t="shared" si="9"/>
        <v>3960.9120000000003</v>
      </c>
      <c r="W29" s="1934">
        <f t="shared" si="9"/>
        <v>3533.5619999999999</v>
      </c>
      <c r="X29" s="1934">
        <f t="shared" si="9"/>
        <v>3451.3190000000004</v>
      </c>
      <c r="Y29" s="1934">
        <f t="shared" si="9"/>
        <v>3260.9199999999996</v>
      </c>
      <c r="Z29" s="1934">
        <f t="shared" si="9"/>
        <v>2974.21</v>
      </c>
      <c r="AA29" s="1934">
        <f t="shared" si="9"/>
        <v>3052.6219999999998</v>
      </c>
      <c r="AB29" s="1934">
        <f t="shared" si="9"/>
        <v>3172.4839999999999</v>
      </c>
      <c r="AC29" s="1936">
        <f t="shared" si="9"/>
        <v>3619.77</v>
      </c>
      <c r="AD29" s="1937">
        <f t="shared" si="9"/>
        <v>3897.027</v>
      </c>
      <c r="AE29" s="1934">
        <f t="shared" si="9"/>
        <v>3812.7869999999998</v>
      </c>
      <c r="AF29" s="1934">
        <f t="shared" si="9"/>
        <v>4484.5</v>
      </c>
      <c r="AG29" s="1934">
        <f t="shared" si="9"/>
        <v>4407.3949999999995</v>
      </c>
      <c r="AH29" s="1934">
        <f t="shared" si="9"/>
        <v>4445.4549999999999</v>
      </c>
      <c r="AI29" s="1936">
        <f t="shared" si="9"/>
        <v>4149.8820000000005</v>
      </c>
      <c r="AJ29" s="1934">
        <f t="shared" si="0"/>
        <v>44728.370999999999</v>
      </c>
      <c r="AK29" s="1934">
        <f t="shared" ref="AK29:AX29" si="10">SUM(AK24:AK28)</f>
        <v>4178.0709999999999</v>
      </c>
      <c r="AL29" s="1934">
        <f t="shared" si="10"/>
        <v>3741.6329999999998</v>
      </c>
      <c r="AM29" s="1934">
        <f t="shared" si="10"/>
        <v>3557.6699999999992</v>
      </c>
      <c r="AN29" s="1934">
        <f t="shared" si="10"/>
        <v>3621.6240000000003</v>
      </c>
      <c r="AO29" s="1934">
        <f t="shared" si="10"/>
        <v>3479.9029999999998</v>
      </c>
      <c r="AP29" s="1934">
        <f t="shared" si="10"/>
        <v>4200.6460000000006</v>
      </c>
      <c r="AQ29" s="1934">
        <f t="shared" si="10"/>
        <v>4198.9340000000002</v>
      </c>
      <c r="AR29" s="1934">
        <f t="shared" si="10"/>
        <v>4506.174</v>
      </c>
      <c r="AS29" s="1934">
        <f t="shared" si="10"/>
        <v>4683.018</v>
      </c>
      <c r="AT29" s="1934">
        <f t="shared" si="10"/>
        <v>4747.8799999999992</v>
      </c>
      <c r="AU29" s="1936">
        <f t="shared" si="10"/>
        <v>4110.6480000000001</v>
      </c>
      <c r="AV29" s="1938">
        <f t="shared" si="10"/>
        <v>3925.6090000000004</v>
      </c>
      <c r="AW29" s="1934">
        <f t="shared" si="10"/>
        <v>3634.636</v>
      </c>
      <c r="AX29" s="1934">
        <f t="shared" si="10"/>
        <v>3480.42</v>
      </c>
      <c r="AY29" s="1934">
        <f t="shared" ref="AY29:BH29" si="11">SUM(AY24:AY28)</f>
        <v>3322.63</v>
      </c>
      <c r="AZ29" s="1934">
        <f t="shared" si="11"/>
        <v>3363.2599999999993</v>
      </c>
      <c r="BA29" s="1934">
        <f t="shared" si="11"/>
        <v>3352.03</v>
      </c>
      <c r="BB29" s="1935">
        <f t="shared" si="11"/>
        <v>3682.7470000000003</v>
      </c>
      <c r="BC29" s="1933">
        <f t="shared" si="11"/>
        <v>4408.66</v>
      </c>
      <c r="BD29" s="1934">
        <f t="shared" si="11"/>
        <v>4993.2910000000011</v>
      </c>
      <c r="BE29" s="1934">
        <f t="shared" si="11"/>
        <v>4686.3240000000005</v>
      </c>
      <c r="BF29" s="1936">
        <f t="shared" si="11"/>
        <v>5387.4150000000009</v>
      </c>
      <c r="BG29" s="2327">
        <f t="shared" si="11"/>
        <v>4665.4949999999999</v>
      </c>
      <c r="BH29" s="2328">
        <f t="shared" si="11"/>
        <v>4194.4740000000002</v>
      </c>
      <c r="BI29" s="2328">
        <f t="shared" ref="BI29:BY29" si="12">SUM(BI24:BI28)</f>
        <v>3794.7160000000003</v>
      </c>
      <c r="BJ29" s="2328">
        <f t="shared" si="12"/>
        <v>3607.1970000000006</v>
      </c>
      <c r="BK29" s="2328">
        <f t="shared" si="12"/>
        <v>3457.0370000000003</v>
      </c>
      <c r="BL29" s="2328">
        <f t="shared" si="12"/>
        <v>3445.3139999999999</v>
      </c>
      <c r="BM29" s="2328">
        <f t="shared" si="12"/>
        <v>3655.2510000000002</v>
      </c>
      <c r="BN29" s="2328">
        <f t="shared" si="12"/>
        <v>3413.0249999999996</v>
      </c>
      <c r="BO29" s="2328">
        <f t="shared" si="12"/>
        <v>4204.5549999999994</v>
      </c>
      <c r="BP29" s="2328">
        <f t="shared" si="12"/>
        <v>4949.8329999999996</v>
      </c>
      <c r="BQ29" s="2328">
        <f t="shared" si="12"/>
        <v>4762.4110000000001</v>
      </c>
      <c r="BR29" s="2329">
        <f t="shared" si="12"/>
        <v>4941.4210000000003</v>
      </c>
      <c r="BS29" s="2329">
        <v>5090.7289999999994</v>
      </c>
      <c r="BT29" s="2329">
        <v>4139.0869999999995</v>
      </c>
      <c r="BU29" s="2329">
        <v>3780.2550000000001</v>
      </c>
      <c r="BV29" s="2329">
        <f>SUM(BV24:BV28)</f>
        <v>3687.31</v>
      </c>
      <c r="BW29" s="2329">
        <v>3892.3720000000003</v>
      </c>
      <c r="BX29" s="2329">
        <v>3687.31</v>
      </c>
      <c r="BY29" s="2399">
        <f t="shared" si="12"/>
        <v>49090.728999999992</v>
      </c>
      <c r="BZ29" s="2001"/>
      <c r="CA29" s="1940"/>
    </row>
    <row r="30" spans="1:79">
      <c r="A30" s="2830" t="s">
        <v>299</v>
      </c>
      <c r="B30" s="2832" t="s">
        <v>23</v>
      </c>
      <c r="C30" s="2880" t="s">
        <v>83</v>
      </c>
      <c r="D30" s="2883" t="s">
        <v>84</v>
      </c>
      <c r="E30" s="2841" t="s">
        <v>85</v>
      </c>
      <c r="F30" s="2844" t="s">
        <v>81</v>
      </c>
      <c r="G30" s="2826" t="s">
        <v>103</v>
      </c>
      <c r="H30" s="2038" t="s">
        <v>0</v>
      </c>
      <c r="I30" s="1876">
        <v>1508545.54</v>
      </c>
      <c r="J30" s="1877">
        <v>1489085.21</v>
      </c>
      <c r="K30" s="1877">
        <v>1478302.6</v>
      </c>
      <c r="L30" s="1877">
        <v>1475571.21</v>
      </c>
      <c r="M30" s="1877">
        <v>1472297.1</v>
      </c>
      <c r="N30" s="1877">
        <v>1467893.14</v>
      </c>
      <c r="O30" s="1877">
        <v>1476630.13</v>
      </c>
      <c r="P30" s="1877">
        <v>1484684.96</v>
      </c>
      <c r="Q30" s="1878">
        <v>1494570.22</v>
      </c>
      <c r="R30" s="1876">
        <v>1491052.2799999998</v>
      </c>
      <c r="S30" s="1877">
        <v>1498522.5299999998</v>
      </c>
      <c r="T30" s="1877">
        <v>1528377.5100000002</v>
      </c>
      <c r="U30" s="2039">
        <v>1543917.3499999999</v>
      </c>
      <c r="V30" s="2039">
        <v>1598002.0100000002</v>
      </c>
      <c r="W30" s="2040">
        <v>1633712.05</v>
      </c>
      <c r="X30" s="2040">
        <v>1669200.9000000001</v>
      </c>
      <c r="Y30" s="2040">
        <v>1697038.55</v>
      </c>
      <c r="Z30" s="2040">
        <v>1718415.6300000004</v>
      </c>
      <c r="AA30" s="2041">
        <v>1740658.24</v>
      </c>
      <c r="AB30" s="2041">
        <v>1758151.17</v>
      </c>
      <c r="AC30" s="2042">
        <v>1787607.29</v>
      </c>
      <c r="AD30" s="2043">
        <v>1807927.1900000004</v>
      </c>
      <c r="AE30" s="2040">
        <v>1815147.9800000002</v>
      </c>
      <c r="AF30" s="2040">
        <v>1828076.9900000002</v>
      </c>
      <c r="AG30" s="2040">
        <v>1846712.27</v>
      </c>
      <c r="AH30" s="2040">
        <v>1854390.4200000002</v>
      </c>
      <c r="AI30" s="2044">
        <v>1873089.7399999998</v>
      </c>
      <c r="AJ30" s="1877"/>
      <c r="AK30" s="2045">
        <v>1890203.8699999999</v>
      </c>
      <c r="AL30" s="2045">
        <v>1897395.0300000003</v>
      </c>
      <c r="AM30" s="2045">
        <v>1907604.86</v>
      </c>
      <c r="AN30" s="2045">
        <v>1923111.11</v>
      </c>
      <c r="AO30" s="2045">
        <v>1932588.3899999997</v>
      </c>
      <c r="AP30" s="2045">
        <v>1952093.7299999997</v>
      </c>
      <c r="AQ30" s="2045">
        <v>1966929.3799999997</v>
      </c>
      <c r="AR30" s="2045">
        <v>1996703.51</v>
      </c>
      <c r="AS30" s="2045">
        <v>2007181.35</v>
      </c>
      <c r="AT30" s="2045">
        <v>2020972.75</v>
      </c>
      <c r="AU30" s="2045">
        <v>2000640.58</v>
      </c>
      <c r="AV30" s="2046">
        <v>1983402.8000000003</v>
      </c>
      <c r="AW30" s="2047">
        <v>1960412.57</v>
      </c>
      <c r="AX30" s="2047">
        <v>1951054.54</v>
      </c>
      <c r="AY30" s="2047">
        <v>1946200.23</v>
      </c>
      <c r="AZ30" s="2047">
        <v>1799751.77</v>
      </c>
      <c r="BA30" s="2047">
        <v>1793786.0799999998</v>
      </c>
      <c r="BB30" s="2048">
        <v>1769990.3199999998</v>
      </c>
      <c r="BC30" s="2049">
        <v>1772085.0299999998</v>
      </c>
      <c r="BD30" s="2047">
        <v>1782999.43</v>
      </c>
      <c r="BE30" s="2047">
        <v>1783589.89</v>
      </c>
      <c r="BF30" s="2389">
        <v>1811441.47</v>
      </c>
      <c r="BG30" s="2436">
        <v>1835489.8499999999</v>
      </c>
      <c r="BH30" s="2345">
        <v>1844680.4699999997</v>
      </c>
      <c r="BI30" s="2345">
        <v>1852212.44</v>
      </c>
      <c r="BJ30" s="2345">
        <v>1857507.97</v>
      </c>
      <c r="BK30" s="2345">
        <v>1862452.3599999999</v>
      </c>
      <c r="BL30" s="2345">
        <v>2004280.17</v>
      </c>
      <c r="BM30" s="2345">
        <v>2015913.02</v>
      </c>
      <c r="BN30" s="2346">
        <v>2011929.59</v>
      </c>
      <c r="BO30" s="2347">
        <v>2005570.3</v>
      </c>
      <c r="BP30" s="2347">
        <v>2016103.05</v>
      </c>
      <c r="BQ30" s="2348">
        <v>2013572.3099999998</v>
      </c>
      <c r="BR30" s="2437">
        <v>1991101.1199999996</v>
      </c>
      <c r="BS30" s="2601">
        <v>2010503.8399999999</v>
      </c>
      <c r="BT30" s="2601">
        <v>2013564.05</v>
      </c>
      <c r="BU30" s="2601">
        <v>2021584.3</v>
      </c>
      <c r="BV30" s="2601">
        <f>+'04_FACT x kWh CONSUMIDA'!B103</f>
        <v>2052915</v>
      </c>
      <c r="BW30" s="2601">
        <v>2039723.6799999997</v>
      </c>
      <c r="BX30" s="2601">
        <v>2052915</v>
      </c>
      <c r="BY30" s="2407">
        <f>SUM(BG30:BR30)</f>
        <v>23310812.649999999</v>
      </c>
      <c r="BZ30" s="2001"/>
      <c r="CA30" s="1940"/>
    </row>
    <row r="31" spans="1:79">
      <c r="A31" s="2830"/>
      <c r="B31" s="2833"/>
      <c r="C31" s="2881"/>
      <c r="D31" s="2884"/>
      <c r="E31" s="2842"/>
      <c r="F31" s="2845"/>
      <c r="G31" s="2827"/>
      <c r="H31" s="2002" t="s">
        <v>1</v>
      </c>
      <c r="I31" s="1892">
        <v>1064064.24</v>
      </c>
      <c r="J31" s="1893">
        <v>1052930.46</v>
      </c>
      <c r="K31" s="1893">
        <v>1047079.97</v>
      </c>
      <c r="L31" s="1893">
        <v>1043552.01</v>
      </c>
      <c r="M31" s="1893">
        <v>1042152.17</v>
      </c>
      <c r="N31" s="1893">
        <v>1038696.71</v>
      </c>
      <c r="O31" s="1893">
        <v>1044167.83</v>
      </c>
      <c r="P31" s="1893">
        <v>1048615.99</v>
      </c>
      <c r="Q31" s="1894">
        <v>1055709.3899999999</v>
      </c>
      <c r="R31" s="1892">
        <v>1060059.79</v>
      </c>
      <c r="S31" s="1893">
        <v>1068800.71</v>
      </c>
      <c r="T31" s="1893">
        <v>1084152.25</v>
      </c>
      <c r="U31" s="2050">
        <v>1085746.8599999999</v>
      </c>
      <c r="V31" s="2050">
        <v>1138973.73</v>
      </c>
      <c r="W31" s="2051">
        <v>1183089.6799999997</v>
      </c>
      <c r="X31" s="2051">
        <v>1228707.3099999998</v>
      </c>
      <c r="Y31" s="2051">
        <v>1265175.1199999999</v>
      </c>
      <c r="Z31" s="2051">
        <v>1295370.8899999999</v>
      </c>
      <c r="AA31" s="2052">
        <v>1326807.96</v>
      </c>
      <c r="AB31" s="2052">
        <v>1359823.4300000002</v>
      </c>
      <c r="AC31" s="2053">
        <v>1399313.7</v>
      </c>
      <c r="AD31" s="2054">
        <v>1432224.11</v>
      </c>
      <c r="AE31" s="2051">
        <v>1455308.39</v>
      </c>
      <c r="AF31" s="2051">
        <v>1491300.02</v>
      </c>
      <c r="AG31" s="2051">
        <v>1534137.6</v>
      </c>
      <c r="AH31" s="2051">
        <v>1540472.47</v>
      </c>
      <c r="AI31" s="2053">
        <v>1548801.46</v>
      </c>
      <c r="AJ31" s="1877"/>
      <c r="AK31" s="2055">
        <v>1572931.5799999998</v>
      </c>
      <c r="AL31" s="2055">
        <v>1591872.62</v>
      </c>
      <c r="AM31" s="2055">
        <v>1613090.8</v>
      </c>
      <c r="AN31" s="2055">
        <v>1635591.0699999998</v>
      </c>
      <c r="AO31" s="2055">
        <v>1645902.7699999998</v>
      </c>
      <c r="AP31" s="2055">
        <v>1670538.0199999996</v>
      </c>
      <c r="AQ31" s="2055">
        <v>1689725.6899999997</v>
      </c>
      <c r="AR31" s="2055">
        <v>1727869.7199999995</v>
      </c>
      <c r="AS31" s="2055">
        <v>1750846.38</v>
      </c>
      <c r="AT31" s="2055">
        <v>1777272.1999999997</v>
      </c>
      <c r="AU31" s="2055">
        <v>1781913.27</v>
      </c>
      <c r="AV31" s="2056">
        <v>1792012.6800000004</v>
      </c>
      <c r="AW31" s="2057">
        <v>1780282.4300000002</v>
      </c>
      <c r="AX31" s="2057">
        <v>1786327.7300000002</v>
      </c>
      <c r="AY31" s="2057">
        <v>1789777.1800000002</v>
      </c>
      <c r="AZ31" s="2057">
        <v>1661324.54</v>
      </c>
      <c r="BA31" s="2057">
        <v>1668156.7300000002</v>
      </c>
      <c r="BB31" s="2058">
        <v>1520695.1199999999</v>
      </c>
      <c r="BC31" s="2059">
        <v>1509225.8299999996</v>
      </c>
      <c r="BD31" s="2057">
        <v>1509558.9100000001</v>
      </c>
      <c r="BE31" s="2057">
        <v>1515288.24</v>
      </c>
      <c r="BF31" s="2390">
        <v>1514262.2999999998</v>
      </c>
      <c r="BG31" s="2438">
        <v>1561401.38</v>
      </c>
      <c r="BH31" s="2349">
        <v>1751533.89</v>
      </c>
      <c r="BI31" s="2349">
        <v>1760359.7199999995</v>
      </c>
      <c r="BJ31" s="2349">
        <v>1756551.5899999994</v>
      </c>
      <c r="BK31" s="2349">
        <v>1756434.6699999997</v>
      </c>
      <c r="BL31" s="2349">
        <v>1885350.3199999996</v>
      </c>
      <c r="BM31" s="2349">
        <v>1900221.0799999996</v>
      </c>
      <c r="BN31" s="2350">
        <v>1896376.8299999996</v>
      </c>
      <c r="BO31" s="2351">
        <v>1899986.2599999995</v>
      </c>
      <c r="BP31" s="2351">
        <v>1919511.0999999999</v>
      </c>
      <c r="BQ31" s="2352">
        <v>1934376.7899999996</v>
      </c>
      <c r="BR31" s="2439">
        <v>1938357.7999999998</v>
      </c>
      <c r="BS31" s="2602">
        <v>1971216.86</v>
      </c>
      <c r="BT31" s="2602">
        <v>1989829.37</v>
      </c>
      <c r="BU31" s="2602">
        <v>2012538.99</v>
      </c>
      <c r="BV31" s="2602">
        <f>+'04_FACT x kWh CONSUMIDA'!C103</f>
        <v>2085516</v>
      </c>
      <c r="BW31" s="2602">
        <v>2050166.8199999996</v>
      </c>
      <c r="BX31" s="2602">
        <v>2085516</v>
      </c>
      <c r="BY31" s="2408">
        <f>SUM(BG31:BR31)</f>
        <v>21960461.43</v>
      </c>
      <c r="BZ31" s="2001"/>
      <c r="CA31" s="1940"/>
    </row>
    <row r="32" spans="1:79">
      <c r="A32" s="2830"/>
      <c r="B32" s="2833"/>
      <c r="C32" s="2881"/>
      <c r="D32" s="2884"/>
      <c r="E32" s="2842"/>
      <c r="F32" s="2845"/>
      <c r="G32" s="2827"/>
      <c r="H32" s="2002" t="s">
        <v>2</v>
      </c>
      <c r="I32" s="1892">
        <v>38766.730000000003</v>
      </c>
      <c r="J32" s="1893">
        <v>38503.29</v>
      </c>
      <c r="K32" s="1893">
        <v>38603.54</v>
      </c>
      <c r="L32" s="1893">
        <v>38578.959999999999</v>
      </c>
      <c r="M32" s="1893">
        <v>38118.49</v>
      </c>
      <c r="N32" s="1893">
        <v>37855.589999999997</v>
      </c>
      <c r="O32" s="1893">
        <v>37908.65</v>
      </c>
      <c r="P32" s="1893">
        <v>37638.99</v>
      </c>
      <c r="Q32" s="1894">
        <v>37057.31</v>
      </c>
      <c r="R32" s="1892">
        <v>36301.31</v>
      </c>
      <c r="S32" s="1893">
        <v>35846.879999999997</v>
      </c>
      <c r="T32" s="1893">
        <v>35983.269999999997</v>
      </c>
      <c r="U32" s="2050">
        <v>35938.28</v>
      </c>
      <c r="V32" s="2050">
        <v>37240.219999999994</v>
      </c>
      <c r="W32" s="2051">
        <v>37919.699999999997</v>
      </c>
      <c r="X32" s="2051">
        <v>38934.47</v>
      </c>
      <c r="Y32" s="2051">
        <v>40595.51</v>
      </c>
      <c r="Z32" s="2051">
        <v>41314.58</v>
      </c>
      <c r="AA32" s="2052">
        <v>41984.119999999995</v>
      </c>
      <c r="AB32" s="2052">
        <v>42441.71</v>
      </c>
      <c r="AC32" s="2053">
        <v>42823.91</v>
      </c>
      <c r="AD32" s="2054">
        <v>43441.72</v>
      </c>
      <c r="AE32" s="2051">
        <v>43585.540000000008</v>
      </c>
      <c r="AF32" s="2051">
        <v>43961.500000000007</v>
      </c>
      <c r="AG32" s="2051">
        <v>44679.810000000005</v>
      </c>
      <c r="AH32" s="2051">
        <v>44017.689999999995</v>
      </c>
      <c r="AI32" s="2053">
        <v>43725.990000000005</v>
      </c>
      <c r="AJ32" s="1877"/>
      <c r="AK32" s="2055">
        <v>43246.049999999996</v>
      </c>
      <c r="AL32" s="2055">
        <v>42677.62</v>
      </c>
      <c r="AM32" s="2055">
        <v>42690.399999999994</v>
      </c>
      <c r="AN32" s="2055">
        <v>42528.909999999996</v>
      </c>
      <c r="AO32" s="2055">
        <v>42295.74</v>
      </c>
      <c r="AP32" s="2055">
        <v>42521.72</v>
      </c>
      <c r="AQ32" s="2055">
        <v>41993.51</v>
      </c>
      <c r="AR32" s="2055">
        <v>42458.06</v>
      </c>
      <c r="AS32" s="2055">
        <v>42723.430000000008</v>
      </c>
      <c r="AT32" s="2055">
        <v>42648.54</v>
      </c>
      <c r="AU32" s="2055">
        <v>43183.270000000004</v>
      </c>
      <c r="AV32" s="2056">
        <v>44073.760000000002</v>
      </c>
      <c r="AW32" s="2057">
        <v>44577.61</v>
      </c>
      <c r="AX32" s="2057">
        <v>45552.59</v>
      </c>
      <c r="AY32" s="2057">
        <v>46626.049999999996</v>
      </c>
      <c r="AZ32" s="2057">
        <v>43331.94999999999</v>
      </c>
      <c r="BA32" s="2057">
        <v>44782.41</v>
      </c>
      <c r="BB32" s="2058">
        <v>41128.020000000004</v>
      </c>
      <c r="BC32" s="2059">
        <v>42654.130000000005</v>
      </c>
      <c r="BD32" s="2057">
        <v>43566.25</v>
      </c>
      <c r="BE32" s="2057">
        <v>44324.899999999994</v>
      </c>
      <c r="BF32" s="2390">
        <v>44920.49</v>
      </c>
      <c r="BG32" s="2438">
        <v>45594.549999999996</v>
      </c>
      <c r="BH32" s="2349">
        <v>50644.24</v>
      </c>
      <c r="BI32" s="2349">
        <v>51705.659999999996</v>
      </c>
      <c r="BJ32" s="2349">
        <v>52131.289999999994</v>
      </c>
      <c r="BK32" s="2349">
        <v>52307.369999999995</v>
      </c>
      <c r="BL32" s="2349">
        <v>56265.909999999996</v>
      </c>
      <c r="BM32" s="2349">
        <v>56235.25</v>
      </c>
      <c r="BN32" s="2350">
        <v>55584.53</v>
      </c>
      <c r="BO32" s="2351">
        <v>54757.61</v>
      </c>
      <c r="BP32" s="2351">
        <v>54053.47</v>
      </c>
      <c r="BQ32" s="2352">
        <v>53480.820000000007</v>
      </c>
      <c r="BR32" s="2439">
        <v>53542.080000000002</v>
      </c>
      <c r="BS32" s="2603">
        <v>53579.24</v>
      </c>
      <c r="BT32" s="2603">
        <v>52965.81</v>
      </c>
      <c r="BU32" s="2603">
        <v>51797.120000000003</v>
      </c>
      <c r="BV32" s="2603">
        <f>+'04_FACT x kWh CONSUMIDA'!D103</f>
        <v>50028</v>
      </c>
      <c r="BW32" s="2603">
        <v>50535.96</v>
      </c>
      <c r="BX32" s="2603">
        <v>50028</v>
      </c>
      <c r="BY32" s="2408">
        <f>SUM(BG32:BR32)</f>
        <v>636302.77999999991</v>
      </c>
      <c r="BZ32" s="2001"/>
      <c r="CA32" s="1940"/>
    </row>
    <row r="33" spans="1:83">
      <c r="A33" s="2830"/>
      <c r="B33" s="2833"/>
      <c r="C33" s="2881"/>
      <c r="D33" s="2884"/>
      <c r="E33" s="2842"/>
      <c r="F33" s="2845"/>
      <c r="G33" s="2827"/>
      <c r="H33" s="2002" t="s">
        <v>82</v>
      </c>
      <c r="I33" s="1892">
        <v>160876.62</v>
      </c>
      <c r="J33" s="1893">
        <v>184707.83</v>
      </c>
      <c r="K33" s="1893">
        <v>206839.73</v>
      </c>
      <c r="L33" s="1893">
        <v>204215.73</v>
      </c>
      <c r="M33" s="1893">
        <v>224107.2</v>
      </c>
      <c r="N33" s="1893">
        <v>223170.22</v>
      </c>
      <c r="O33" s="1893">
        <v>224950.34</v>
      </c>
      <c r="P33" s="1893">
        <v>226390.19</v>
      </c>
      <c r="Q33" s="1894">
        <v>228696.58</v>
      </c>
      <c r="R33" s="1892">
        <v>258390.8</v>
      </c>
      <c r="S33" s="1893">
        <v>289996.67</v>
      </c>
      <c r="T33" s="1893">
        <v>298227.17</v>
      </c>
      <c r="U33" s="2050">
        <v>295620.28999999998</v>
      </c>
      <c r="V33" s="2050">
        <v>298731.14999999997</v>
      </c>
      <c r="W33" s="2051">
        <v>303942.2</v>
      </c>
      <c r="X33" s="2051">
        <v>310749.59000000003</v>
      </c>
      <c r="Y33" s="2051">
        <v>315468.08999999997</v>
      </c>
      <c r="Z33" s="2051">
        <v>340956.49999999994</v>
      </c>
      <c r="AA33" s="2052">
        <v>366841.16999999993</v>
      </c>
      <c r="AB33" s="2052">
        <v>393926.74999999994</v>
      </c>
      <c r="AC33" s="2053">
        <v>360319.67</v>
      </c>
      <c r="AD33" s="2054">
        <v>362996.02000000008</v>
      </c>
      <c r="AE33" s="2051">
        <v>362734.16000000009</v>
      </c>
      <c r="AF33" s="2051">
        <v>359816.13</v>
      </c>
      <c r="AG33" s="2051">
        <v>360773.86</v>
      </c>
      <c r="AH33" s="2051">
        <v>368506.38</v>
      </c>
      <c r="AI33" s="2053">
        <v>374410.11000000004</v>
      </c>
      <c r="AJ33" s="1877"/>
      <c r="AK33" s="2055">
        <v>379443.9200000001</v>
      </c>
      <c r="AL33" s="2055">
        <v>382686.57</v>
      </c>
      <c r="AM33" s="2055">
        <v>386647.06</v>
      </c>
      <c r="AN33" s="2055">
        <v>390843.85000000003</v>
      </c>
      <c r="AO33" s="2055">
        <v>392935.53</v>
      </c>
      <c r="AP33" s="2055">
        <v>397503.30000000005</v>
      </c>
      <c r="AQ33" s="2055">
        <v>400142.68000000005</v>
      </c>
      <c r="AR33" s="2055">
        <v>406492.36000000004</v>
      </c>
      <c r="AS33" s="2055">
        <v>410978.98</v>
      </c>
      <c r="AT33" s="2055">
        <v>414714.83999999997</v>
      </c>
      <c r="AU33" s="2055">
        <v>412174.6</v>
      </c>
      <c r="AV33" s="1110">
        <v>408896.91</v>
      </c>
      <c r="AW33" s="757">
        <v>374275.99999999994</v>
      </c>
      <c r="AX33" s="757">
        <v>373384.66</v>
      </c>
      <c r="AY33" s="757">
        <v>372427.08</v>
      </c>
      <c r="AZ33" s="757">
        <v>342345.62</v>
      </c>
      <c r="BA33" s="757">
        <v>341783.7</v>
      </c>
      <c r="BB33" s="1111">
        <v>306867.10000000003</v>
      </c>
      <c r="BC33" s="1107">
        <v>271857.15000000002</v>
      </c>
      <c r="BD33" s="757">
        <v>234163.46</v>
      </c>
      <c r="BE33" s="757">
        <v>194841.35</v>
      </c>
      <c r="BF33" s="2391">
        <v>154804.78999999998</v>
      </c>
      <c r="BG33" s="2440">
        <v>375653.71999999991</v>
      </c>
      <c r="BH33" s="2353">
        <v>375393.75999999989</v>
      </c>
      <c r="BI33" s="2353">
        <v>374363.14999999991</v>
      </c>
      <c r="BJ33" s="2353">
        <v>372176.97</v>
      </c>
      <c r="BK33" s="2353">
        <v>343685.64999999997</v>
      </c>
      <c r="BL33" s="2353">
        <v>343685.64999999997</v>
      </c>
      <c r="BM33" s="2353">
        <v>315070.31</v>
      </c>
      <c r="BN33" s="2354">
        <v>284140.25999999995</v>
      </c>
      <c r="BO33" s="2353">
        <v>361486.49</v>
      </c>
      <c r="BP33" s="2353">
        <v>360611.07999999996</v>
      </c>
      <c r="BQ33" s="2353">
        <v>358396.3</v>
      </c>
      <c r="BR33" s="2441">
        <v>355320.73999999993</v>
      </c>
      <c r="BS33" s="2602">
        <v>358363.75999999995</v>
      </c>
      <c r="BT33" s="2602">
        <v>358683.17</v>
      </c>
      <c r="BU33" s="2602">
        <v>359653.72</v>
      </c>
      <c r="BV33" s="2602">
        <f>+'04_FACT x kWh CONSUMIDA'!E103</f>
        <v>365251</v>
      </c>
      <c r="BW33" s="2602">
        <v>362547.77</v>
      </c>
      <c r="BX33" s="2602">
        <v>365251</v>
      </c>
      <c r="BY33" s="2409">
        <f>SUM(BG33:BR33)</f>
        <v>4219984.0799999991</v>
      </c>
      <c r="BZ33" s="2001"/>
      <c r="CA33" s="1940"/>
    </row>
    <row r="34" spans="1:83" ht="13.5" thickBot="1">
      <c r="A34" s="2830"/>
      <c r="B34" s="2833"/>
      <c r="C34" s="2881"/>
      <c r="D34" s="2884"/>
      <c r="E34" s="2842"/>
      <c r="F34" s="2845"/>
      <c r="G34" s="2827"/>
      <c r="H34" s="2020" t="s">
        <v>4</v>
      </c>
      <c r="I34" s="1915">
        <v>624293.80000000005</v>
      </c>
      <c r="J34" s="1916">
        <v>618583.74</v>
      </c>
      <c r="K34" s="1916">
        <v>613372.93000000005</v>
      </c>
      <c r="L34" s="1916">
        <v>608980.73</v>
      </c>
      <c r="M34" s="1916">
        <v>606968.04</v>
      </c>
      <c r="N34" s="1916">
        <v>601770.05000000005</v>
      </c>
      <c r="O34" s="1916">
        <v>602326.14</v>
      </c>
      <c r="P34" s="1916">
        <v>602544</v>
      </c>
      <c r="Q34" s="1917">
        <v>606866.74</v>
      </c>
      <c r="R34" s="1915">
        <v>611295.75</v>
      </c>
      <c r="S34" s="1916">
        <v>616784.85</v>
      </c>
      <c r="T34" s="1916">
        <v>649236.78</v>
      </c>
      <c r="U34" s="2060">
        <v>675125.25</v>
      </c>
      <c r="V34" s="2060">
        <v>647909.28</v>
      </c>
      <c r="W34" s="2061">
        <v>664083.44999999995</v>
      </c>
      <c r="X34" s="2061">
        <v>692335.57999999984</v>
      </c>
      <c r="Y34" s="2061">
        <v>716012.49999999988</v>
      </c>
      <c r="Z34" s="2061">
        <v>738579.56999999983</v>
      </c>
      <c r="AA34" s="2062">
        <v>762410.1100000001</v>
      </c>
      <c r="AB34" s="2062">
        <v>786961.8899999999</v>
      </c>
      <c r="AC34" s="2063">
        <v>814165.40999999992</v>
      </c>
      <c r="AD34" s="2064">
        <v>837976.41999999993</v>
      </c>
      <c r="AE34" s="2061">
        <v>852759.80999999994</v>
      </c>
      <c r="AF34" s="2061">
        <v>832372.33000000007</v>
      </c>
      <c r="AG34" s="2061">
        <v>836909.63</v>
      </c>
      <c r="AH34" s="2061">
        <v>907201.3</v>
      </c>
      <c r="AI34" s="2063">
        <v>932063.35</v>
      </c>
      <c r="AJ34" s="1925"/>
      <c r="AK34" s="2065">
        <v>952140.95</v>
      </c>
      <c r="AL34" s="2065">
        <v>966621.97</v>
      </c>
      <c r="AM34" s="2065">
        <v>982841</v>
      </c>
      <c r="AN34" s="2065">
        <v>994711.14999999991</v>
      </c>
      <c r="AO34" s="2065">
        <v>999740.23</v>
      </c>
      <c r="AP34" s="2065">
        <v>1012260.46</v>
      </c>
      <c r="AQ34" s="2065">
        <v>1011882.46</v>
      </c>
      <c r="AR34" s="2065">
        <v>1021099.51</v>
      </c>
      <c r="AS34" s="2065">
        <v>1039698.4500000001</v>
      </c>
      <c r="AT34" s="2065">
        <v>1045759.8099999999</v>
      </c>
      <c r="AU34" s="2065">
        <v>1033914.67</v>
      </c>
      <c r="AV34" s="2066">
        <v>1023031.37</v>
      </c>
      <c r="AW34" s="2067">
        <v>1009745.2499999999</v>
      </c>
      <c r="AX34" s="2067">
        <v>1002264.85</v>
      </c>
      <c r="AY34" s="2067">
        <v>992620.6</v>
      </c>
      <c r="AZ34" s="2067">
        <v>914708.63</v>
      </c>
      <c r="BA34" s="2067">
        <v>909023.19</v>
      </c>
      <c r="BB34" s="2068">
        <v>815116.48</v>
      </c>
      <c r="BC34" s="2069">
        <v>808526.22000000009</v>
      </c>
      <c r="BD34" s="2067">
        <v>811762.65000000014</v>
      </c>
      <c r="BE34" s="2067">
        <v>822685.84000000008</v>
      </c>
      <c r="BF34" s="2392">
        <v>820211.44000000006</v>
      </c>
      <c r="BG34" s="2442">
        <v>840048.44</v>
      </c>
      <c r="BH34" s="2355">
        <v>850564.19</v>
      </c>
      <c r="BI34" s="2355">
        <v>858501.04999999981</v>
      </c>
      <c r="BJ34" s="2355">
        <v>864797.80999999982</v>
      </c>
      <c r="BK34" s="2355">
        <v>871966.27999999991</v>
      </c>
      <c r="BL34" s="2355">
        <v>944721.87999999989</v>
      </c>
      <c r="BM34" s="2355">
        <v>945516.28999999992</v>
      </c>
      <c r="BN34" s="2356">
        <v>937154.07</v>
      </c>
      <c r="BO34" s="2357">
        <v>979909.75</v>
      </c>
      <c r="BP34" s="2357">
        <v>960774.83</v>
      </c>
      <c r="BQ34" s="2358">
        <v>952529.57</v>
      </c>
      <c r="BR34" s="2443">
        <v>1042171.82</v>
      </c>
      <c r="BS34" s="2602">
        <v>920676.00999999989</v>
      </c>
      <c r="BT34" s="2602">
        <v>899968.12</v>
      </c>
      <c r="BU34" s="2602">
        <v>875015.96</v>
      </c>
      <c r="BV34" s="2602">
        <f>+'04_FACT x kWh CONSUMIDA'!F103</f>
        <v>834866.45</v>
      </c>
      <c r="BW34" s="2602">
        <v>853458.86999999988</v>
      </c>
      <c r="BX34" s="2602">
        <v>834866.45</v>
      </c>
      <c r="BY34" s="2410">
        <f>SUM(BG34:BR34)</f>
        <v>11048655.98</v>
      </c>
      <c r="BZ34" s="2001"/>
      <c r="CA34" s="1940"/>
    </row>
    <row r="35" spans="1:83" ht="13.5" thickBot="1">
      <c r="A35" s="2830"/>
      <c r="B35" s="2834"/>
      <c r="C35" s="2882"/>
      <c r="D35" s="2885"/>
      <c r="E35" s="2843"/>
      <c r="F35" s="2846"/>
      <c r="G35" s="2828"/>
      <c r="H35" s="2034" t="s">
        <v>214</v>
      </c>
      <c r="I35" s="2035">
        <f t="shared" ref="I35:AI35" si="13">SUM(I30:I34)</f>
        <v>3396546.9300000006</v>
      </c>
      <c r="J35" s="2036">
        <f t="shared" si="13"/>
        <v>3383810.5300000003</v>
      </c>
      <c r="K35" s="2036">
        <f t="shared" si="13"/>
        <v>3384198.7700000005</v>
      </c>
      <c r="L35" s="2036">
        <f t="shared" si="13"/>
        <v>3370898.6399999997</v>
      </c>
      <c r="M35" s="2036">
        <f t="shared" si="13"/>
        <v>3383643.0000000005</v>
      </c>
      <c r="N35" s="2036">
        <f t="shared" si="13"/>
        <v>3369385.71</v>
      </c>
      <c r="O35" s="2036">
        <f t="shared" si="13"/>
        <v>3385983.09</v>
      </c>
      <c r="P35" s="2036">
        <f t="shared" si="13"/>
        <v>3399874.1300000004</v>
      </c>
      <c r="Q35" s="2037">
        <f t="shared" si="13"/>
        <v>3422900.24</v>
      </c>
      <c r="R35" s="2035">
        <f t="shared" si="13"/>
        <v>3457099.9299999997</v>
      </c>
      <c r="S35" s="2036">
        <f t="shared" si="13"/>
        <v>3509951.6399999997</v>
      </c>
      <c r="T35" s="2036">
        <f t="shared" si="13"/>
        <v>3595976.9800000004</v>
      </c>
      <c r="U35" s="2036">
        <f t="shared" si="13"/>
        <v>3636348.03</v>
      </c>
      <c r="V35" s="2036">
        <f t="shared" si="13"/>
        <v>3720856.3900000006</v>
      </c>
      <c r="W35" s="1934">
        <f t="shared" si="13"/>
        <v>3822747.08</v>
      </c>
      <c r="X35" s="1934">
        <f t="shared" si="13"/>
        <v>3939927.8499999996</v>
      </c>
      <c r="Y35" s="1934">
        <f t="shared" si="13"/>
        <v>4034289.7699999996</v>
      </c>
      <c r="Z35" s="1934">
        <f t="shared" si="13"/>
        <v>4134637.1700000004</v>
      </c>
      <c r="AA35" s="1934">
        <f t="shared" si="13"/>
        <v>4238701.6000000006</v>
      </c>
      <c r="AB35" s="1934">
        <f t="shared" si="13"/>
        <v>4341304.95</v>
      </c>
      <c r="AC35" s="1936">
        <f t="shared" si="13"/>
        <v>4404229.9800000004</v>
      </c>
      <c r="AD35" s="1937">
        <f t="shared" si="13"/>
        <v>4484565.4600000009</v>
      </c>
      <c r="AE35" s="1934">
        <f t="shared" si="13"/>
        <v>4529535.88</v>
      </c>
      <c r="AF35" s="1934">
        <f t="shared" si="13"/>
        <v>4555526.9700000007</v>
      </c>
      <c r="AG35" s="1934">
        <f t="shared" si="13"/>
        <v>4623213.17</v>
      </c>
      <c r="AH35" s="1934">
        <f t="shared" si="13"/>
        <v>4714588.26</v>
      </c>
      <c r="AI35" s="2070">
        <f t="shared" si="13"/>
        <v>4772090.6499999994</v>
      </c>
      <c r="AJ35" s="2070"/>
      <c r="AK35" s="1936">
        <f t="shared" ref="AK35:AX35" si="14">SUM(AK30:AK34)</f>
        <v>4837966.3699999992</v>
      </c>
      <c r="AL35" s="1936">
        <f t="shared" si="14"/>
        <v>4881253.8100000005</v>
      </c>
      <c r="AM35" s="1936">
        <f t="shared" si="14"/>
        <v>4932874.12</v>
      </c>
      <c r="AN35" s="1936">
        <f t="shared" si="14"/>
        <v>4986786.09</v>
      </c>
      <c r="AO35" s="1936">
        <f t="shared" si="14"/>
        <v>5013462.66</v>
      </c>
      <c r="AP35" s="1936">
        <f t="shared" si="14"/>
        <v>5074917.2299999995</v>
      </c>
      <c r="AQ35" s="1936">
        <f t="shared" si="14"/>
        <v>5110673.7199999988</v>
      </c>
      <c r="AR35" s="1936">
        <f t="shared" si="14"/>
        <v>5194623.1599999992</v>
      </c>
      <c r="AS35" s="1936">
        <f t="shared" si="14"/>
        <v>5251428.5900000008</v>
      </c>
      <c r="AT35" s="1936">
        <f t="shared" si="14"/>
        <v>5301368.1399999997</v>
      </c>
      <c r="AU35" s="1936">
        <f t="shared" si="14"/>
        <v>5271826.3899999997</v>
      </c>
      <c r="AV35" s="1937">
        <f t="shared" si="14"/>
        <v>5251417.5200000005</v>
      </c>
      <c r="AW35" s="1936">
        <f t="shared" si="14"/>
        <v>5169293.8599999994</v>
      </c>
      <c r="AX35" s="1936">
        <f t="shared" si="14"/>
        <v>5158584.37</v>
      </c>
      <c r="AY35" s="1936">
        <f>SUM(AY30:AY34)</f>
        <v>5147651.1399999997</v>
      </c>
      <c r="AZ35" s="1936">
        <f t="shared" ref="AZ35:BG35" si="15">SUM(AZ30:AZ34)</f>
        <v>4761462.5100000007</v>
      </c>
      <c r="BA35" s="1936">
        <f t="shared" si="15"/>
        <v>4757532.1100000003</v>
      </c>
      <c r="BB35" s="1935">
        <f t="shared" si="15"/>
        <v>4453797.0399999991</v>
      </c>
      <c r="BC35" s="2070">
        <f t="shared" si="15"/>
        <v>4404348.3599999994</v>
      </c>
      <c r="BD35" s="1936">
        <f t="shared" si="15"/>
        <v>4382050.7</v>
      </c>
      <c r="BE35" s="1936">
        <f t="shared" si="15"/>
        <v>4360730.22</v>
      </c>
      <c r="BF35" s="1936">
        <f t="shared" si="15"/>
        <v>4345640.49</v>
      </c>
      <c r="BG35" s="2444">
        <f t="shared" si="15"/>
        <v>4658187.9399999995</v>
      </c>
      <c r="BH35" s="2336">
        <f>SUM(BH30:BH34)</f>
        <v>4872816.5499999989</v>
      </c>
      <c r="BI35" s="2336">
        <f t="shared" ref="BI35:BN35" si="16">SUM(BI30:BI34)</f>
        <v>4897142.0199999996</v>
      </c>
      <c r="BJ35" s="2336">
        <f t="shared" si="16"/>
        <v>4903165.629999999</v>
      </c>
      <c r="BK35" s="2336">
        <f t="shared" si="16"/>
        <v>4886846.3299999991</v>
      </c>
      <c r="BL35" s="2336">
        <f t="shared" si="16"/>
        <v>5234303.93</v>
      </c>
      <c r="BM35" s="2336">
        <f t="shared" si="16"/>
        <v>5232955.9499999993</v>
      </c>
      <c r="BN35" s="2336">
        <f t="shared" si="16"/>
        <v>5185185.28</v>
      </c>
      <c r="BO35" s="2336">
        <f>SUM(BO30:BO34)</f>
        <v>5301710.4099999992</v>
      </c>
      <c r="BP35" s="2336">
        <f t="shared" ref="BP35:BY35" si="17">SUM(BP30:BP34)</f>
        <v>5311053.53</v>
      </c>
      <c r="BQ35" s="2336">
        <f t="shared" si="17"/>
        <v>5312355.79</v>
      </c>
      <c r="BR35" s="2329">
        <f t="shared" si="17"/>
        <v>5380493.5599999996</v>
      </c>
      <c r="BS35" s="2329">
        <v>5314339.71</v>
      </c>
      <c r="BT35" s="2329">
        <v>5315010.5200000005</v>
      </c>
      <c r="BU35" s="2329">
        <v>5320590.09</v>
      </c>
      <c r="BV35" s="2329">
        <f>SUM(BV30:BV34)</f>
        <v>5388576.4500000002</v>
      </c>
      <c r="BW35" s="2329">
        <v>5356433.0999999987</v>
      </c>
      <c r="BX35" s="2329">
        <v>5388576.4500000002</v>
      </c>
      <c r="BY35" s="2399">
        <f t="shared" si="17"/>
        <v>61176216.920000002</v>
      </c>
      <c r="BZ35" s="2001"/>
      <c r="CA35" s="1940"/>
    </row>
    <row r="36" spans="1:83">
      <c r="A36" s="2829" t="s">
        <v>300</v>
      </c>
      <c r="B36" s="2872" t="s">
        <v>194</v>
      </c>
      <c r="C36" s="2873" t="s">
        <v>86</v>
      </c>
      <c r="D36" s="2874" t="s">
        <v>87</v>
      </c>
      <c r="E36" s="2857" t="s">
        <v>85</v>
      </c>
      <c r="F36" s="2876" t="s">
        <v>81</v>
      </c>
      <c r="G36" s="2859" t="s">
        <v>103</v>
      </c>
      <c r="H36" s="2038" t="s">
        <v>0</v>
      </c>
      <c r="I36" s="1876">
        <v>1475309.99</v>
      </c>
      <c r="J36" s="1877">
        <v>1486847.18</v>
      </c>
      <c r="K36" s="1877">
        <v>1473722.9</v>
      </c>
      <c r="L36" s="1877">
        <v>1466435.66</v>
      </c>
      <c r="M36" s="1877">
        <v>1446965.42</v>
      </c>
      <c r="N36" s="1877">
        <v>1436134.08</v>
      </c>
      <c r="O36" s="1877">
        <v>1420097.48</v>
      </c>
      <c r="P36" s="1877">
        <v>1429264.54</v>
      </c>
      <c r="Q36" s="1878">
        <v>1442464.15</v>
      </c>
      <c r="R36" s="1876">
        <v>1451598.58</v>
      </c>
      <c r="S36" s="1877">
        <v>1466015.49</v>
      </c>
      <c r="T36" s="1877">
        <v>1495074.34</v>
      </c>
      <c r="U36" s="2039">
        <v>1510587.96</v>
      </c>
      <c r="V36" s="2039">
        <v>1539945.73</v>
      </c>
      <c r="W36" s="2040">
        <v>1576750.38</v>
      </c>
      <c r="X36" s="2040">
        <v>1614055.4</v>
      </c>
      <c r="Y36" s="2040">
        <v>1639426.6800000002</v>
      </c>
      <c r="Z36" s="2040">
        <v>1661005.99</v>
      </c>
      <c r="AA36" s="2041">
        <v>1679590.2200000002</v>
      </c>
      <c r="AB36" s="2041">
        <v>1695317.8200000003</v>
      </c>
      <c r="AC36" s="1950">
        <v>1725705.6100000003</v>
      </c>
      <c r="AD36" s="2043">
        <v>1747653.19</v>
      </c>
      <c r="AE36" s="2040">
        <v>1752500.7900000003</v>
      </c>
      <c r="AF36" s="2040">
        <v>1763268.1300000004</v>
      </c>
      <c r="AG36" s="2040">
        <v>1778979.1</v>
      </c>
      <c r="AH36" s="2040">
        <v>1796665.33</v>
      </c>
      <c r="AI36" s="2044">
        <v>1812973.61</v>
      </c>
      <c r="AJ36" s="1877"/>
      <c r="AK36" s="2045">
        <v>1827139.93</v>
      </c>
      <c r="AL36" s="2045">
        <v>1845393.6500000001</v>
      </c>
      <c r="AM36" s="2045">
        <v>1855382.34</v>
      </c>
      <c r="AN36" s="2045">
        <v>1872277.77</v>
      </c>
      <c r="AO36" s="2045">
        <v>1889270.97</v>
      </c>
      <c r="AP36" s="2045">
        <v>1905345.29</v>
      </c>
      <c r="AQ36" s="2045">
        <v>1920177.1300000001</v>
      </c>
      <c r="AR36" s="2045">
        <v>1948671.8699999999</v>
      </c>
      <c r="AS36" s="2045">
        <v>1960709.92</v>
      </c>
      <c r="AT36" s="2045">
        <v>1972092.6400000001</v>
      </c>
      <c r="AU36" s="2045">
        <v>1951475.5000000002</v>
      </c>
      <c r="AV36" s="2071">
        <v>1926358.3300000005</v>
      </c>
      <c r="AW36" s="2072">
        <v>1907403.3800000004</v>
      </c>
      <c r="AX36" s="2072">
        <v>1886988.09</v>
      </c>
      <c r="AY36" s="2072">
        <v>1882060.94</v>
      </c>
      <c r="AZ36" s="2072">
        <v>1745063.44</v>
      </c>
      <c r="BA36" s="2072">
        <v>1734852.52</v>
      </c>
      <c r="BB36" s="2073">
        <v>1711995.35</v>
      </c>
      <c r="BC36" s="2074">
        <v>1701711.9</v>
      </c>
      <c r="BD36" s="2072">
        <v>1723974.4799999997</v>
      </c>
      <c r="BE36" s="2072">
        <v>1721922.8900000001</v>
      </c>
      <c r="BF36" s="2393">
        <v>1754921.0599999998</v>
      </c>
      <c r="BG36" s="2445">
        <v>1775780.99</v>
      </c>
      <c r="BH36" s="2359">
        <v>1791767.21</v>
      </c>
      <c r="BI36" s="2359">
        <v>1795208.89</v>
      </c>
      <c r="BJ36" s="2359">
        <v>1798102.27</v>
      </c>
      <c r="BK36" s="2359">
        <v>1801428.8599999999</v>
      </c>
      <c r="BL36" s="2359">
        <v>1933922.4</v>
      </c>
      <c r="BM36" s="2359">
        <v>1943935.8900000001</v>
      </c>
      <c r="BN36" s="2359">
        <v>1940710.02</v>
      </c>
      <c r="BO36" s="2331">
        <v>1937829.91</v>
      </c>
      <c r="BP36" s="2331">
        <v>1939115.7699999998</v>
      </c>
      <c r="BQ36" s="2331">
        <v>1941083.02</v>
      </c>
      <c r="BR36" s="2425">
        <v>1914237.5</v>
      </c>
      <c r="BS36" s="2601">
        <v>1928978.19</v>
      </c>
      <c r="BT36" s="2601">
        <v>1929735.36</v>
      </c>
      <c r="BU36" s="2601">
        <v>1936439.97</v>
      </c>
      <c r="BV36" s="2601">
        <f>+'05_RECAU X kWh CONSUMIDA'!B103</f>
        <v>1960228</v>
      </c>
      <c r="BW36" s="2601">
        <v>1951659.4199999997</v>
      </c>
      <c r="BX36" s="2601">
        <v>1960228</v>
      </c>
      <c r="BY36" s="2411">
        <f>SUM(AT36:BH36)</f>
        <v>27188368.719999999</v>
      </c>
      <c r="BZ36" s="2001"/>
      <c r="CA36" s="1940"/>
    </row>
    <row r="37" spans="1:83">
      <c r="A37" s="2830"/>
      <c r="B37" s="2833"/>
      <c r="C37" s="2836"/>
      <c r="D37" s="2839"/>
      <c r="E37" s="2868"/>
      <c r="F37" s="2845"/>
      <c r="G37" s="2860"/>
      <c r="H37" s="2002" t="s">
        <v>1</v>
      </c>
      <c r="I37" s="1892">
        <v>1059469.27</v>
      </c>
      <c r="J37" s="1893">
        <v>1068939.24</v>
      </c>
      <c r="K37" s="1893">
        <v>1059792.1100000001</v>
      </c>
      <c r="L37" s="1893">
        <v>1056772.3600000001</v>
      </c>
      <c r="M37" s="1893">
        <v>1050796.53</v>
      </c>
      <c r="N37" s="1893">
        <v>1040847.18</v>
      </c>
      <c r="O37" s="1893">
        <v>1039558.84</v>
      </c>
      <c r="P37" s="1893">
        <v>1043861.47</v>
      </c>
      <c r="Q37" s="1894">
        <v>1055045.6100000001</v>
      </c>
      <c r="R37" s="1892">
        <v>1069205.2899999998</v>
      </c>
      <c r="S37" s="1893">
        <v>1083531.3699999999</v>
      </c>
      <c r="T37" s="1893">
        <v>1106187.1099999999</v>
      </c>
      <c r="U37" s="2050">
        <v>1109911.3999999999</v>
      </c>
      <c r="V37" s="2050">
        <v>1137490.3</v>
      </c>
      <c r="W37" s="2051">
        <v>1188561.72</v>
      </c>
      <c r="X37" s="2051">
        <v>1236535.4400000002</v>
      </c>
      <c r="Y37" s="2051">
        <v>1269613.3899999999</v>
      </c>
      <c r="Z37" s="2051">
        <v>1297663.3199999998</v>
      </c>
      <c r="AA37" s="2052">
        <v>1324810.72</v>
      </c>
      <c r="AB37" s="2052">
        <v>1354738.59</v>
      </c>
      <c r="AC37" s="2053">
        <v>1392208.82</v>
      </c>
      <c r="AD37" s="2054">
        <v>1426160.3100000003</v>
      </c>
      <c r="AE37" s="2051">
        <v>1449889.84</v>
      </c>
      <c r="AF37" s="2051">
        <v>1485625.6600000001</v>
      </c>
      <c r="AG37" s="2051">
        <v>1525823.31</v>
      </c>
      <c r="AH37" s="2051">
        <v>1544681.29</v>
      </c>
      <c r="AI37" s="2053">
        <v>1546320.39</v>
      </c>
      <c r="AJ37" s="1877"/>
      <c r="AK37" s="2055">
        <v>1565652.1199999999</v>
      </c>
      <c r="AL37" s="2055">
        <v>1589870.6299999997</v>
      </c>
      <c r="AM37" s="2055">
        <v>1607402.6199999996</v>
      </c>
      <c r="AN37" s="2055">
        <v>1632695.4999999998</v>
      </c>
      <c r="AO37" s="2055">
        <v>1647801.0099999998</v>
      </c>
      <c r="AP37" s="2055">
        <v>1672278.15</v>
      </c>
      <c r="AQ37" s="2055">
        <v>1689755.6599999997</v>
      </c>
      <c r="AR37" s="2055">
        <v>1727836.0799999998</v>
      </c>
      <c r="AS37" s="2055">
        <v>1749535.5299999998</v>
      </c>
      <c r="AT37" s="2055">
        <v>1783278.32</v>
      </c>
      <c r="AU37" s="2055">
        <v>1779680.4</v>
      </c>
      <c r="AV37" s="2075">
        <v>1777045.35</v>
      </c>
      <c r="AW37" s="2076">
        <v>1777200.66</v>
      </c>
      <c r="AX37" s="2076">
        <v>1777483.68</v>
      </c>
      <c r="AY37" s="2076">
        <v>1787378.8900000001</v>
      </c>
      <c r="AZ37" s="2076">
        <v>1659193.5</v>
      </c>
      <c r="BA37" s="2076">
        <v>1663951.34</v>
      </c>
      <c r="BB37" s="2077">
        <v>1518387.11</v>
      </c>
      <c r="BC37" s="2078">
        <v>1507789.86</v>
      </c>
      <c r="BD37" s="2076">
        <v>1490598.01</v>
      </c>
      <c r="BE37" s="2076">
        <v>1512349.1</v>
      </c>
      <c r="BF37" s="2394">
        <v>1511716.91</v>
      </c>
      <c r="BG37" s="2446">
        <v>1560748.0599999998</v>
      </c>
      <c r="BH37" s="2360">
        <v>1759101.68</v>
      </c>
      <c r="BI37" s="2360">
        <v>1757614.95</v>
      </c>
      <c r="BJ37" s="2360">
        <v>1755588.79</v>
      </c>
      <c r="BK37" s="2360">
        <v>1748391.1700000002</v>
      </c>
      <c r="BL37" s="2360">
        <v>1875778.36</v>
      </c>
      <c r="BM37" s="2360">
        <v>1890515.79</v>
      </c>
      <c r="BN37" s="2360">
        <v>1890075.51</v>
      </c>
      <c r="BO37" s="2331">
        <v>1906482.02</v>
      </c>
      <c r="BP37" s="2331">
        <v>1915387.63</v>
      </c>
      <c r="BQ37" s="2331">
        <v>1926612.6700000002</v>
      </c>
      <c r="BR37" s="2425">
        <v>1929162.1100000003</v>
      </c>
      <c r="BS37" s="2602">
        <v>1960658.62</v>
      </c>
      <c r="BT37" s="2602">
        <v>1982189.34</v>
      </c>
      <c r="BU37" s="2602">
        <v>2005807.88</v>
      </c>
      <c r="BV37" s="2602">
        <f>+'05_RECAU X kWh CONSUMIDA'!C103</f>
        <v>2080823</v>
      </c>
      <c r="BW37" s="2602">
        <v>2043093.37</v>
      </c>
      <c r="BX37" s="2602">
        <v>2080823</v>
      </c>
      <c r="BY37" s="2412">
        <f>SUM(AT37:BH37)</f>
        <v>24865902.870000001</v>
      </c>
      <c r="BZ37" s="2001"/>
      <c r="CA37" s="1940"/>
    </row>
    <row r="38" spans="1:83">
      <c r="A38" s="2830"/>
      <c r="B38" s="2833"/>
      <c r="C38" s="2836"/>
      <c r="D38" s="2839"/>
      <c r="E38" s="2868"/>
      <c r="F38" s="2845"/>
      <c r="G38" s="2860"/>
      <c r="H38" s="2002" t="s">
        <v>2</v>
      </c>
      <c r="I38" s="1892">
        <v>39214.89</v>
      </c>
      <c r="J38" s="1893">
        <v>38963.01</v>
      </c>
      <c r="K38" s="1893">
        <v>38470.129999999997</v>
      </c>
      <c r="L38" s="1893">
        <v>39143.83</v>
      </c>
      <c r="M38" s="1893">
        <v>38953.86</v>
      </c>
      <c r="N38" s="1893">
        <v>39328.68</v>
      </c>
      <c r="O38" s="1893">
        <v>38527.050000000003</v>
      </c>
      <c r="P38" s="1893">
        <v>38526.65</v>
      </c>
      <c r="Q38" s="1894">
        <v>38817.919999999998</v>
      </c>
      <c r="R38" s="1892">
        <v>37462.410000000003</v>
      </c>
      <c r="S38" s="1893">
        <v>37290.97</v>
      </c>
      <c r="T38" s="1893">
        <v>37395.83</v>
      </c>
      <c r="U38" s="2050">
        <v>35805.74</v>
      </c>
      <c r="V38" s="2050">
        <v>36606.660000000003</v>
      </c>
      <c r="W38" s="2051">
        <v>38184.43</v>
      </c>
      <c r="X38" s="2051">
        <v>39336.890000000007</v>
      </c>
      <c r="Y38" s="2051">
        <v>40407.069999999992</v>
      </c>
      <c r="Z38" s="2051">
        <v>41582.680000000008</v>
      </c>
      <c r="AA38" s="2052">
        <v>41985.87</v>
      </c>
      <c r="AB38" s="2052">
        <v>42470.04</v>
      </c>
      <c r="AC38" s="2053">
        <v>42943.53</v>
      </c>
      <c r="AD38" s="2054">
        <v>43396.92</v>
      </c>
      <c r="AE38" s="2051">
        <v>43456.52</v>
      </c>
      <c r="AF38" s="2051">
        <v>44035.98</v>
      </c>
      <c r="AG38" s="2051">
        <v>44708.100000000006</v>
      </c>
      <c r="AH38" s="2051">
        <v>44361.79</v>
      </c>
      <c r="AI38" s="2053">
        <v>43557.200000000004</v>
      </c>
      <c r="AJ38" s="1877"/>
      <c r="AK38" s="2055">
        <v>43135.090000000004</v>
      </c>
      <c r="AL38" s="2055">
        <v>42800.710000000006</v>
      </c>
      <c r="AM38" s="2055">
        <v>42695.579999999994</v>
      </c>
      <c r="AN38" s="2055">
        <v>42591.490000000005</v>
      </c>
      <c r="AO38" s="2055">
        <v>42372.350000000006</v>
      </c>
      <c r="AP38" s="2055">
        <v>42649.87</v>
      </c>
      <c r="AQ38" s="2055">
        <v>41837.290000000008</v>
      </c>
      <c r="AR38" s="2055">
        <v>42455.25</v>
      </c>
      <c r="AS38" s="2055">
        <v>42375.450000000004</v>
      </c>
      <c r="AT38" s="2055">
        <v>42754.3</v>
      </c>
      <c r="AU38" s="2055">
        <v>43483.26</v>
      </c>
      <c r="AV38" s="2075">
        <v>44274.91</v>
      </c>
      <c r="AW38" s="2076">
        <v>44391.990000000005</v>
      </c>
      <c r="AX38" s="2076">
        <v>45091.390000000007</v>
      </c>
      <c r="AY38" s="2076">
        <v>46525.099999999991</v>
      </c>
      <c r="AZ38" s="2076">
        <v>43265.2</v>
      </c>
      <c r="BA38" s="2076">
        <v>44705.77</v>
      </c>
      <c r="BB38" s="2077">
        <v>40977.620000000003</v>
      </c>
      <c r="BC38" s="2078">
        <v>43073.5</v>
      </c>
      <c r="BD38" s="2076">
        <v>43571.15</v>
      </c>
      <c r="BE38" s="2076">
        <v>45092.75</v>
      </c>
      <c r="BF38" s="2394">
        <v>44922.280000000006</v>
      </c>
      <c r="BG38" s="2446">
        <v>45886.67</v>
      </c>
      <c r="BH38" s="2360">
        <v>51100.97</v>
      </c>
      <c r="BI38" s="2360">
        <v>52373.59</v>
      </c>
      <c r="BJ38" s="2360">
        <v>53016.819999999992</v>
      </c>
      <c r="BK38" s="2360">
        <v>52797.600000000006</v>
      </c>
      <c r="BL38" s="2360">
        <v>56801.390000000007</v>
      </c>
      <c r="BM38" s="2360">
        <v>56819.960000000006</v>
      </c>
      <c r="BN38" s="2360">
        <v>55540.680000000008</v>
      </c>
      <c r="BO38" s="2333">
        <v>54956.82</v>
      </c>
      <c r="BP38" s="2333">
        <v>54158.82</v>
      </c>
      <c r="BQ38" s="2333">
        <v>54087.169999999991</v>
      </c>
      <c r="BR38" s="2425">
        <v>53247.56</v>
      </c>
      <c r="BS38" s="2603">
        <v>53473.66</v>
      </c>
      <c r="BT38" s="2603">
        <v>53034.16</v>
      </c>
      <c r="BU38" s="2603">
        <v>51805.11</v>
      </c>
      <c r="BV38" s="2603">
        <f>+'05_RECAU X kWh CONSUMIDA'!D103</f>
        <v>49790</v>
      </c>
      <c r="BW38" s="2603">
        <v>50426.55000000001</v>
      </c>
      <c r="BX38" s="2603">
        <v>49790</v>
      </c>
      <c r="BY38" s="2412">
        <f>SUM(AT38:BH38)</f>
        <v>669116.8600000001</v>
      </c>
      <c r="BZ38" s="2001"/>
      <c r="CA38" s="1940"/>
    </row>
    <row r="39" spans="1:83">
      <c r="A39" s="2830"/>
      <c r="B39" s="2833"/>
      <c r="C39" s="2836"/>
      <c r="D39" s="2839"/>
      <c r="E39" s="2868"/>
      <c r="F39" s="2845"/>
      <c r="G39" s="2860"/>
      <c r="H39" s="2002" t="s">
        <v>82</v>
      </c>
      <c r="I39" s="1892">
        <v>178024.24</v>
      </c>
      <c r="J39" s="1893">
        <v>209016.71</v>
      </c>
      <c r="K39" s="1893">
        <v>230685.23</v>
      </c>
      <c r="L39" s="1893">
        <v>228976.75</v>
      </c>
      <c r="M39" s="1893">
        <v>248500.38</v>
      </c>
      <c r="N39" s="1893">
        <v>240963.94</v>
      </c>
      <c r="O39" s="1893">
        <v>235955.25</v>
      </c>
      <c r="P39" s="1893">
        <v>236075.51999999999</v>
      </c>
      <c r="Q39" s="1894">
        <v>235107.27</v>
      </c>
      <c r="R39" s="1892">
        <v>264485.90999999997</v>
      </c>
      <c r="S39" s="1893">
        <v>295179.69</v>
      </c>
      <c r="T39" s="1893">
        <v>301816.88</v>
      </c>
      <c r="U39" s="2050">
        <v>300506.75</v>
      </c>
      <c r="V39" s="2050">
        <v>301459.27999999991</v>
      </c>
      <c r="W39" s="2051">
        <v>308437.98</v>
      </c>
      <c r="X39" s="2051">
        <v>282604.61000000004</v>
      </c>
      <c r="Y39" s="2051">
        <v>286401.41000000003</v>
      </c>
      <c r="Z39" s="2051">
        <v>312035.75</v>
      </c>
      <c r="AA39" s="2052">
        <v>337153.68000000005</v>
      </c>
      <c r="AB39" s="2052">
        <v>362259.01000000007</v>
      </c>
      <c r="AC39" s="2053">
        <v>293763.17999999993</v>
      </c>
      <c r="AD39" s="2054">
        <v>299553.36999999994</v>
      </c>
      <c r="AE39" s="2051">
        <v>302216.93</v>
      </c>
      <c r="AF39" s="2051">
        <v>301804.34000000003</v>
      </c>
      <c r="AG39" s="2051">
        <v>305201.37</v>
      </c>
      <c r="AH39" s="2051">
        <v>342348.81</v>
      </c>
      <c r="AI39" s="2053">
        <v>311823.99999999994</v>
      </c>
      <c r="AJ39" s="1877"/>
      <c r="AK39" s="2055">
        <v>315989.02999999991</v>
      </c>
      <c r="AL39" s="2055">
        <v>347833.97999999992</v>
      </c>
      <c r="AM39" s="2055">
        <v>351265.57</v>
      </c>
      <c r="AN39" s="2055">
        <v>356800.53</v>
      </c>
      <c r="AO39" s="2055">
        <v>359767.12</v>
      </c>
      <c r="AP39" s="2055">
        <v>357909.53</v>
      </c>
      <c r="AQ39" s="2055">
        <v>358819.29</v>
      </c>
      <c r="AR39" s="2055">
        <v>366076.98000000004</v>
      </c>
      <c r="AS39" s="2055">
        <v>372311.58000000007</v>
      </c>
      <c r="AT39" s="2055">
        <v>374344.31000000006</v>
      </c>
      <c r="AU39" s="2055">
        <v>369590.50000000006</v>
      </c>
      <c r="AV39" s="2075">
        <v>397216.61000000004</v>
      </c>
      <c r="AW39" s="2076">
        <v>363173.01000000007</v>
      </c>
      <c r="AX39" s="2076">
        <v>365032.39</v>
      </c>
      <c r="AY39" s="2076">
        <v>366034.99</v>
      </c>
      <c r="AZ39" s="2076">
        <v>335382.09999999998</v>
      </c>
      <c r="BA39" s="2076">
        <v>335955.39000000007</v>
      </c>
      <c r="BB39" s="2077">
        <v>305588.69</v>
      </c>
      <c r="BC39" s="2078">
        <v>274375.52</v>
      </c>
      <c r="BD39" s="2076">
        <v>235119.01</v>
      </c>
      <c r="BE39" s="2076">
        <v>193279.86</v>
      </c>
      <c r="BF39" s="2394">
        <v>154581.53</v>
      </c>
      <c r="BG39" s="2446">
        <v>385388.21</v>
      </c>
      <c r="BH39" s="2360">
        <v>388875.01999999996</v>
      </c>
      <c r="BI39" s="2360">
        <v>384111.84</v>
      </c>
      <c r="BJ39" s="2360">
        <v>377898.38</v>
      </c>
      <c r="BK39" s="2360">
        <v>347829.85</v>
      </c>
      <c r="BL39" s="2360">
        <v>347829.85</v>
      </c>
      <c r="BM39" s="2360">
        <v>319184.64000000001</v>
      </c>
      <c r="BN39" s="2360">
        <v>288911.14</v>
      </c>
      <c r="BO39" s="2331">
        <v>386706.26999999996</v>
      </c>
      <c r="BP39" s="2331">
        <v>381208.95</v>
      </c>
      <c r="BQ39" s="2331">
        <v>379544.17999999993</v>
      </c>
      <c r="BR39" s="2425">
        <v>375521.55</v>
      </c>
      <c r="BS39" s="2602">
        <v>377135.69</v>
      </c>
      <c r="BT39" s="2602">
        <v>377160.18</v>
      </c>
      <c r="BU39" s="2602">
        <v>377527.45</v>
      </c>
      <c r="BV39" s="2602">
        <f>+'05_RECAU X kWh CONSUMIDA'!E103</f>
        <v>383051</v>
      </c>
      <c r="BW39" s="2602">
        <v>380263.68999999994</v>
      </c>
      <c r="BX39" s="2602">
        <v>383051</v>
      </c>
      <c r="BY39" s="2412">
        <f>SUM(AT39:BH39)</f>
        <v>4843937.1399999997</v>
      </c>
      <c r="BZ39" s="2001"/>
      <c r="CA39" s="1940"/>
    </row>
    <row r="40" spans="1:83" ht="13.5" thickBot="1">
      <c r="A40" s="2830"/>
      <c r="B40" s="2833"/>
      <c r="C40" s="2836"/>
      <c r="D40" s="2839"/>
      <c r="E40" s="2868"/>
      <c r="F40" s="2845"/>
      <c r="G40" s="2860"/>
      <c r="H40" s="2020" t="s">
        <v>4</v>
      </c>
      <c r="I40" s="1915">
        <v>595497.80999900005</v>
      </c>
      <c r="J40" s="1916">
        <v>606603.97999899997</v>
      </c>
      <c r="K40" s="1916">
        <v>604192.59999899997</v>
      </c>
      <c r="L40" s="1916">
        <v>598573.39999900002</v>
      </c>
      <c r="M40" s="1916">
        <v>594501.15999900002</v>
      </c>
      <c r="N40" s="1916">
        <v>616566.36999899999</v>
      </c>
      <c r="O40" s="1916">
        <v>595250.17999900004</v>
      </c>
      <c r="P40" s="1916">
        <v>612455.84999899997</v>
      </c>
      <c r="Q40" s="1917">
        <v>623252.47999899997</v>
      </c>
      <c r="R40" s="1915">
        <v>604810.92999999982</v>
      </c>
      <c r="S40" s="1916">
        <v>616981.33999999985</v>
      </c>
      <c r="T40" s="1916">
        <v>626670.67000000004</v>
      </c>
      <c r="U40" s="2060">
        <v>619432.21000000008</v>
      </c>
      <c r="V40" s="2060">
        <v>619725</v>
      </c>
      <c r="W40" s="2061">
        <v>651264.74</v>
      </c>
      <c r="X40" s="2061">
        <v>678698.09000000008</v>
      </c>
      <c r="Y40" s="2061">
        <v>698915.92</v>
      </c>
      <c r="Z40" s="2061">
        <v>718723.89</v>
      </c>
      <c r="AA40" s="2062">
        <v>737455.89</v>
      </c>
      <c r="AB40" s="2062">
        <v>746404.29</v>
      </c>
      <c r="AC40" s="2063">
        <v>797240.38000000012</v>
      </c>
      <c r="AD40" s="2064">
        <v>802024.29</v>
      </c>
      <c r="AE40" s="2061">
        <v>834260.10000000009</v>
      </c>
      <c r="AF40" s="2061">
        <v>837115.32000000018</v>
      </c>
      <c r="AG40" s="2061">
        <v>874997.9600000002</v>
      </c>
      <c r="AH40" s="2061">
        <v>894743.58000000019</v>
      </c>
      <c r="AI40" s="2063">
        <v>917172.3600000001</v>
      </c>
      <c r="AJ40" s="1925"/>
      <c r="AK40" s="2065">
        <v>939649.4099999998</v>
      </c>
      <c r="AL40" s="2065">
        <v>958433.39999999991</v>
      </c>
      <c r="AM40" s="2065">
        <v>969048.59999999986</v>
      </c>
      <c r="AN40" s="2065">
        <v>994659.09999999986</v>
      </c>
      <c r="AO40" s="2065">
        <v>999463.7</v>
      </c>
      <c r="AP40" s="2065">
        <v>937164.72</v>
      </c>
      <c r="AQ40" s="2065">
        <v>917400.75</v>
      </c>
      <c r="AR40" s="2065">
        <v>923288.09000000008</v>
      </c>
      <c r="AS40" s="2065">
        <v>965694.66</v>
      </c>
      <c r="AT40" s="2065">
        <v>931168.21000000008</v>
      </c>
      <c r="AU40" s="2065">
        <v>897686.67</v>
      </c>
      <c r="AV40" s="2075">
        <v>856454.15000000014</v>
      </c>
      <c r="AW40" s="2076">
        <v>885543.53</v>
      </c>
      <c r="AX40" s="2076">
        <v>911521.04999999993</v>
      </c>
      <c r="AY40" s="2076">
        <v>919937.54999999993</v>
      </c>
      <c r="AZ40" s="2076">
        <v>834348.54999999993</v>
      </c>
      <c r="BA40" s="2076">
        <v>847349.47</v>
      </c>
      <c r="BB40" s="2077">
        <v>811572.71000000008</v>
      </c>
      <c r="BC40" s="2078">
        <v>836490.5</v>
      </c>
      <c r="BD40" s="2076">
        <v>802267.11</v>
      </c>
      <c r="BE40" s="2076">
        <v>817825</v>
      </c>
      <c r="BF40" s="2394">
        <v>844884.4</v>
      </c>
      <c r="BG40" s="2446">
        <v>900919.29</v>
      </c>
      <c r="BH40" s="2360">
        <v>948349.25</v>
      </c>
      <c r="BI40" s="2360">
        <v>901661.48</v>
      </c>
      <c r="BJ40" s="2360">
        <v>885263.55</v>
      </c>
      <c r="BK40" s="2360">
        <v>879962.27</v>
      </c>
      <c r="BL40" s="2360">
        <v>953463.87</v>
      </c>
      <c r="BM40" s="2360">
        <v>951081.20999999985</v>
      </c>
      <c r="BN40" s="2360">
        <v>935978.74000000011</v>
      </c>
      <c r="BO40" s="2331">
        <v>996390.11999999988</v>
      </c>
      <c r="BP40" s="2331">
        <v>947954.64999999979</v>
      </c>
      <c r="BQ40" s="2331">
        <v>943243.7699999999</v>
      </c>
      <c r="BR40" s="2425">
        <v>919001.77999999991</v>
      </c>
      <c r="BS40" s="2602">
        <v>888732.52</v>
      </c>
      <c r="BT40" s="2602">
        <v>876312.54</v>
      </c>
      <c r="BU40" s="2602">
        <v>841159.17</v>
      </c>
      <c r="BV40" s="2602">
        <f>+'05_RECAU X kWh CONSUMIDA'!F103</f>
        <v>794590.63000000012</v>
      </c>
      <c r="BW40" s="2602">
        <v>816410.42999999993</v>
      </c>
      <c r="BX40" s="2602">
        <v>794590.63000000012</v>
      </c>
      <c r="BY40" s="2412">
        <f>SUM(AT40:BH40)</f>
        <v>13046317.440000001</v>
      </c>
      <c r="BZ40" s="2001"/>
      <c r="CA40" s="1940"/>
    </row>
    <row r="41" spans="1:83" ht="13.5" thickBot="1">
      <c r="A41" s="2830"/>
      <c r="B41" s="2834"/>
      <c r="C41" s="2837"/>
      <c r="D41" s="2840"/>
      <c r="E41" s="2875"/>
      <c r="F41" s="2846"/>
      <c r="G41" s="2861"/>
      <c r="H41" s="2034" t="s">
        <v>214</v>
      </c>
      <c r="I41" s="2035">
        <f t="shared" ref="I41:AI41" si="18">SUM(I36:I40)</f>
        <v>3347516.1999989999</v>
      </c>
      <c r="J41" s="2036">
        <f t="shared" si="18"/>
        <v>3410370.1199989999</v>
      </c>
      <c r="K41" s="2036">
        <f t="shared" si="18"/>
        <v>3406862.9699989995</v>
      </c>
      <c r="L41" s="2036">
        <f t="shared" si="18"/>
        <v>3389901.9999990002</v>
      </c>
      <c r="M41" s="2036">
        <f t="shared" si="18"/>
        <v>3379717.3499989999</v>
      </c>
      <c r="N41" s="2036">
        <f t="shared" si="18"/>
        <v>3373840.2499990002</v>
      </c>
      <c r="O41" s="2036">
        <f t="shared" si="18"/>
        <v>3329388.7999989996</v>
      </c>
      <c r="P41" s="2036">
        <f t="shared" si="18"/>
        <v>3360184.0299989996</v>
      </c>
      <c r="Q41" s="2037">
        <f t="shared" si="18"/>
        <v>3394687.4299989995</v>
      </c>
      <c r="R41" s="2035">
        <f t="shared" si="18"/>
        <v>3427563.12</v>
      </c>
      <c r="S41" s="2036">
        <f t="shared" si="18"/>
        <v>3498998.86</v>
      </c>
      <c r="T41" s="2036">
        <f t="shared" si="18"/>
        <v>3567144.83</v>
      </c>
      <c r="U41" s="2036">
        <f t="shared" si="18"/>
        <v>3576244.06</v>
      </c>
      <c r="V41" s="2036">
        <f t="shared" si="18"/>
        <v>3635226.97</v>
      </c>
      <c r="W41" s="1934">
        <f t="shared" si="18"/>
        <v>3763199.25</v>
      </c>
      <c r="X41" s="1934">
        <f t="shared" si="18"/>
        <v>3851230.4299999997</v>
      </c>
      <c r="Y41" s="1934">
        <f t="shared" si="18"/>
        <v>3934764.47</v>
      </c>
      <c r="Z41" s="1934">
        <f t="shared" si="18"/>
        <v>4031011.63</v>
      </c>
      <c r="AA41" s="1934">
        <f t="shared" si="18"/>
        <v>4120996.3800000008</v>
      </c>
      <c r="AB41" s="1934">
        <f t="shared" si="18"/>
        <v>4201189.75</v>
      </c>
      <c r="AC41" s="1936">
        <f t="shared" si="18"/>
        <v>4251861.5200000005</v>
      </c>
      <c r="AD41" s="1937">
        <f t="shared" si="18"/>
        <v>4318788.08</v>
      </c>
      <c r="AE41" s="1934">
        <f t="shared" si="18"/>
        <v>4382324.1800000006</v>
      </c>
      <c r="AF41" s="1934">
        <f t="shared" si="18"/>
        <v>4431849.4300000006</v>
      </c>
      <c r="AG41" s="1934">
        <f t="shared" si="18"/>
        <v>4529709.8400000008</v>
      </c>
      <c r="AH41" s="1934">
        <f t="shared" si="18"/>
        <v>4622800.8000000007</v>
      </c>
      <c r="AI41" s="2070">
        <f t="shared" si="18"/>
        <v>4631847.5600000005</v>
      </c>
      <c r="AJ41" s="2070"/>
      <c r="AK41" s="1936">
        <f t="shared" ref="AK41:AX41" si="19">SUM(AK36:AK40)</f>
        <v>4691565.5799999991</v>
      </c>
      <c r="AL41" s="1936">
        <f t="shared" si="19"/>
        <v>4784332.3699999992</v>
      </c>
      <c r="AM41" s="1936">
        <f t="shared" si="19"/>
        <v>4825794.71</v>
      </c>
      <c r="AN41" s="1936">
        <f t="shared" si="19"/>
        <v>4899024.3899999997</v>
      </c>
      <c r="AO41" s="1936">
        <f t="shared" si="19"/>
        <v>4938675.1499999994</v>
      </c>
      <c r="AP41" s="1936">
        <f t="shared" si="19"/>
        <v>4915347.5599999996</v>
      </c>
      <c r="AQ41" s="1936">
        <f t="shared" si="19"/>
        <v>4927990.12</v>
      </c>
      <c r="AR41" s="1936">
        <f t="shared" si="19"/>
        <v>5008328.2699999996</v>
      </c>
      <c r="AS41" s="1936">
        <f t="shared" si="19"/>
        <v>5090627.1399999997</v>
      </c>
      <c r="AT41" s="1936">
        <f t="shared" si="19"/>
        <v>5103637.78</v>
      </c>
      <c r="AU41" s="1936">
        <f t="shared" si="19"/>
        <v>5041916.33</v>
      </c>
      <c r="AV41" s="1937">
        <f t="shared" si="19"/>
        <v>5001349.3500000006</v>
      </c>
      <c r="AW41" s="1936">
        <f t="shared" si="19"/>
        <v>4977712.57</v>
      </c>
      <c r="AX41" s="1936">
        <f t="shared" si="19"/>
        <v>4986116.6000000006</v>
      </c>
      <c r="AY41" s="1936">
        <f>SUM(AY36:AY40)</f>
        <v>5001937.47</v>
      </c>
      <c r="AZ41" s="1936">
        <f t="shared" ref="AZ41:BR41" si="20">SUM(AZ36:AZ40)</f>
        <v>4617252.79</v>
      </c>
      <c r="BA41" s="1936">
        <f t="shared" si="20"/>
        <v>4626814.49</v>
      </c>
      <c r="BB41" s="1935">
        <f t="shared" si="20"/>
        <v>4388521.4800000004</v>
      </c>
      <c r="BC41" s="2070">
        <f t="shared" si="20"/>
        <v>4363441.2799999993</v>
      </c>
      <c r="BD41" s="1936">
        <f t="shared" si="20"/>
        <v>4295529.76</v>
      </c>
      <c r="BE41" s="1936">
        <f t="shared" si="20"/>
        <v>4290469.5999999996</v>
      </c>
      <c r="BF41" s="1936">
        <f t="shared" si="20"/>
        <v>4311026.18</v>
      </c>
      <c r="BG41" s="2444">
        <f t="shared" si="20"/>
        <v>4668723.22</v>
      </c>
      <c r="BH41" s="2336">
        <f t="shared" si="20"/>
        <v>4939194.13</v>
      </c>
      <c r="BI41" s="2336">
        <f t="shared" si="20"/>
        <v>4890970.75</v>
      </c>
      <c r="BJ41" s="2336">
        <f t="shared" si="20"/>
        <v>4869869.8099999996</v>
      </c>
      <c r="BK41" s="2336">
        <f t="shared" si="20"/>
        <v>4830409.75</v>
      </c>
      <c r="BL41" s="2336">
        <f t="shared" si="20"/>
        <v>5167795.87</v>
      </c>
      <c r="BM41" s="2336">
        <f t="shared" si="20"/>
        <v>5161537.49</v>
      </c>
      <c r="BN41" s="2336">
        <f t="shared" si="20"/>
        <v>5111216.0900000008</v>
      </c>
      <c r="BO41" s="2336">
        <f t="shared" si="20"/>
        <v>5282365.1399999997</v>
      </c>
      <c r="BP41" s="2336">
        <f t="shared" si="20"/>
        <v>5237825.8199999984</v>
      </c>
      <c r="BQ41" s="2336">
        <f t="shared" si="20"/>
        <v>5244570.8099999996</v>
      </c>
      <c r="BR41" s="2329">
        <f t="shared" si="20"/>
        <v>5191170.5000000009</v>
      </c>
      <c r="BS41" s="2329">
        <v>5208978.68</v>
      </c>
      <c r="BT41" s="2329">
        <v>5218431.58</v>
      </c>
      <c r="BU41" s="2329">
        <v>5212739.5799999991</v>
      </c>
      <c r="BV41" s="2329">
        <f>SUM(BV36:BV40)</f>
        <v>5268482.63</v>
      </c>
      <c r="BW41" s="2329">
        <v>5241853.459999999</v>
      </c>
      <c r="BX41" s="2329">
        <v>5268482.63</v>
      </c>
      <c r="BY41" s="2399">
        <f>SUM(AT41:BN41)</f>
        <v>100645442.79000001</v>
      </c>
      <c r="BZ41" s="1939"/>
      <c r="CA41" s="1940"/>
    </row>
    <row r="42" spans="1:83" ht="64.5" thickBot="1">
      <c r="A42" s="2611" t="s">
        <v>301</v>
      </c>
      <c r="B42" s="2210" t="s">
        <v>88</v>
      </c>
      <c r="C42" s="2609" t="s">
        <v>89</v>
      </c>
      <c r="D42" s="2079" t="s">
        <v>90</v>
      </c>
      <c r="E42" s="2080" t="s">
        <v>30</v>
      </c>
      <c r="F42" s="2080" t="s">
        <v>68</v>
      </c>
      <c r="G42" s="2081" t="s">
        <v>103</v>
      </c>
      <c r="H42" s="2082" t="s">
        <v>91</v>
      </c>
      <c r="I42" s="2083">
        <v>0.98556453627449203</v>
      </c>
      <c r="J42" s="2084">
        <v>1.0078490180713515</v>
      </c>
      <c r="K42" s="2084">
        <v>1.0066970652554195</v>
      </c>
      <c r="L42" s="2084">
        <v>1.0066427137528289</v>
      </c>
      <c r="M42" s="2084">
        <v>0.99988732838162542</v>
      </c>
      <c r="N42" s="2084">
        <v>1.0034573049718536</v>
      </c>
      <c r="O42" s="2084">
        <v>0.93062985968159939</v>
      </c>
      <c r="P42" s="2084">
        <v>0.98696969919373934</v>
      </c>
      <c r="Q42" s="2085">
        <v>1.0326232903587294</v>
      </c>
      <c r="R42" s="2083">
        <v>1.0369147067857494</v>
      </c>
      <c r="S42" s="2084">
        <v>1.0364000891592471</v>
      </c>
      <c r="T42" s="2084">
        <v>1.0244019471004184</v>
      </c>
      <c r="U42" s="2084">
        <v>1.0080022667698518</v>
      </c>
      <c r="V42" s="2084">
        <v>0.99551693152362608</v>
      </c>
      <c r="W42" s="2084">
        <v>0.99678078194217312</v>
      </c>
      <c r="X42" s="2084">
        <v>0.99774446854888765</v>
      </c>
      <c r="Y42" s="2084">
        <v>0.99062872888031139</v>
      </c>
      <c r="Z42" s="2084">
        <v>0.98565367306214213</v>
      </c>
      <c r="AA42" s="2084">
        <v>0.98288496454095875</v>
      </c>
      <c r="AB42" s="2084">
        <v>0.97844343712625326</v>
      </c>
      <c r="AC42" s="2084">
        <v>0.98457238272313863</v>
      </c>
      <c r="AD42" s="2084">
        <v>0.98093423811721392</v>
      </c>
      <c r="AE42" s="2084">
        <v>0.9846125194582227</v>
      </c>
      <c r="AF42" s="2084">
        <v>0.98899843734528603</v>
      </c>
      <c r="AG42" s="2084">
        <v>0.9953205517137832</v>
      </c>
      <c r="AH42" s="2084">
        <v>0.98922387723726535</v>
      </c>
      <c r="AI42" s="2086">
        <v>0.98640000000000005</v>
      </c>
      <c r="AJ42" s="2084"/>
      <c r="AK42" s="2084">
        <v>0.98482977114909009</v>
      </c>
      <c r="AL42" s="2084">
        <v>0.98950000000000005</v>
      </c>
      <c r="AM42" s="2084">
        <v>0.98809220449547974</v>
      </c>
      <c r="AN42" s="2084">
        <v>0.99123612773925163</v>
      </c>
      <c r="AO42" s="2084">
        <v>0.9937500106500714</v>
      </c>
      <c r="AP42" s="2084">
        <v>0.97873490218447468</v>
      </c>
      <c r="AQ42" s="2084">
        <v>0.97529241791304222</v>
      </c>
      <c r="AR42" s="2084">
        <v>0.9752576290476701</v>
      </c>
      <c r="AS42" s="2084">
        <v>0.97943764524108756</v>
      </c>
      <c r="AT42" s="2084">
        <v>0.97339511198534989</v>
      </c>
      <c r="AU42" s="2086">
        <v>0.96798649706778428</v>
      </c>
      <c r="AV42" s="2087">
        <v>0.95902317803882708</v>
      </c>
      <c r="AW42" s="2084">
        <v>0.97019674743687545</v>
      </c>
      <c r="AX42" s="2084">
        <v>0.97392606224708422</v>
      </c>
      <c r="AY42" s="2084">
        <v>0.97813125851580252</v>
      </c>
      <c r="AZ42" s="2084">
        <v>0.98038825360297333</v>
      </c>
      <c r="BA42" s="2084">
        <v>0.98276509040526583</v>
      </c>
      <c r="BB42" s="2085">
        <v>0.99181567448248498</v>
      </c>
      <c r="BC42" s="2083">
        <v>0.97971264537011782</v>
      </c>
      <c r="BD42" s="2084">
        <v>0.97529291711157928</v>
      </c>
      <c r="BE42" s="2084">
        <v>0.97910085796131918</v>
      </c>
      <c r="BF42" s="2086">
        <v>1.0007809050899508</v>
      </c>
      <c r="BG42" s="2087">
        <v>1.0091108402048563</v>
      </c>
      <c r="BH42" s="2084">
        <v>1.0137786476491473</v>
      </c>
      <c r="BI42" s="2084">
        <v>1.0049351580163588</v>
      </c>
      <c r="BJ42" s="2084">
        <v>0.99754790907203628</v>
      </c>
      <c r="BK42" s="2084">
        <v>0.99459767527502829</v>
      </c>
      <c r="BL42" s="2084">
        <v>0.99252474536529356</v>
      </c>
      <c r="BM42" s="2084">
        <v>0.98826680746621764</v>
      </c>
      <c r="BN42" s="2084">
        <v>0.99070000000000003</v>
      </c>
      <c r="BO42" s="2305">
        <v>0.99650000000000005</v>
      </c>
      <c r="BP42" s="2305">
        <v>0.98780000000000001</v>
      </c>
      <c r="BQ42" s="2305">
        <v>0.98839999999999995</v>
      </c>
      <c r="BR42" s="2447">
        <v>0.97</v>
      </c>
      <c r="BS42" s="2608">
        <v>0.98151528475160865</v>
      </c>
      <c r="BT42" s="2608">
        <v>0.98299999999999998</v>
      </c>
      <c r="BU42" s="2608">
        <v>0.98148343983340691</v>
      </c>
      <c r="BV42" s="2608">
        <f>+'07_IND_RECAUDACION'!D104</f>
        <v>0.97960000000000003</v>
      </c>
      <c r="BW42" s="2608">
        <v>0.9804157679515918</v>
      </c>
      <c r="BX42" s="2608">
        <v>0.97960000000000003</v>
      </c>
      <c r="BY42" s="2083"/>
      <c r="BZ42" s="1939"/>
      <c r="CA42" s="1940"/>
      <c r="CB42" s="2088"/>
      <c r="CC42" s="2088"/>
      <c r="CD42" s="2088"/>
      <c r="CE42" s="2088"/>
    </row>
    <row r="43" spans="1:83" ht="90" thickBot="1">
      <c r="A43" s="2089" t="s">
        <v>301</v>
      </c>
      <c r="B43" s="2210" t="s">
        <v>88</v>
      </c>
      <c r="C43" s="2610" t="s">
        <v>105</v>
      </c>
      <c r="D43" s="2090" t="s">
        <v>90</v>
      </c>
      <c r="E43" s="2091" t="s">
        <v>30</v>
      </c>
      <c r="F43" s="2091" t="s">
        <v>68</v>
      </c>
      <c r="G43" s="2092" t="s">
        <v>423</v>
      </c>
      <c r="H43" s="2093" t="s">
        <v>91</v>
      </c>
      <c r="I43" s="2094">
        <v>1.1027362269186929</v>
      </c>
      <c r="J43" s="2095">
        <v>1.2612071119753516</v>
      </c>
      <c r="K43" s="2095">
        <v>1.0845299790459215</v>
      </c>
      <c r="L43" s="2095">
        <v>0.98962515298121323</v>
      </c>
      <c r="M43" s="2095">
        <v>1.0631468774522546</v>
      </c>
      <c r="N43" s="2095">
        <v>1.0693529443373486</v>
      </c>
      <c r="O43" s="2095">
        <v>0.98075137029501147</v>
      </c>
      <c r="P43" s="2095">
        <v>0.96256577690906975</v>
      </c>
      <c r="Q43" s="2096">
        <v>0.95788168335249646</v>
      </c>
      <c r="R43" s="2097">
        <v>0.96822204002704582</v>
      </c>
      <c r="S43" s="2098">
        <v>0.96247295196743232</v>
      </c>
      <c r="T43" s="2098">
        <v>0.95002440982495595</v>
      </c>
      <c r="U43" s="2099">
        <v>0.938237299382227</v>
      </c>
      <c r="V43" s="2099">
        <v>1.0743609059193713</v>
      </c>
      <c r="W43" s="2099">
        <v>1.0715935168867727</v>
      </c>
      <c r="X43" s="2099">
        <v>1.0018757527383908</v>
      </c>
      <c r="Y43" s="2099">
        <v>0.96225043973632907</v>
      </c>
      <c r="Z43" s="2099">
        <v>0.98477090038391624</v>
      </c>
      <c r="AA43" s="2099">
        <v>0.94723800222389232</v>
      </c>
      <c r="AB43" s="2099">
        <v>0.91243187534622572</v>
      </c>
      <c r="AC43" s="2099">
        <v>1.0321731599123354</v>
      </c>
      <c r="AD43" s="2099">
        <v>0.93198725822622386</v>
      </c>
      <c r="AE43" s="2099">
        <v>1.0058853673522932</v>
      </c>
      <c r="AF43" s="2099">
        <v>0.99663480120311343</v>
      </c>
      <c r="AG43" s="2099">
        <v>1.0085321386303572</v>
      </c>
      <c r="AH43" s="2099">
        <v>0.99768557163983784</v>
      </c>
      <c r="AI43" s="2100">
        <v>1.0290999999999999</v>
      </c>
      <c r="AJ43" s="2099"/>
      <c r="AK43" s="2099">
        <v>0.98207504324705908</v>
      </c>
      <c r="AL43" s="2099">
        <v>1.0221069217008236</v>
      </c>
      <c r="AM43" s="2099">
        <v>0.96718489758052406</v>
      </c>
      <c r="AN43" s="2099">
        <v>0.99323099037692864</v>
      </c>
      <c r="AO43" s="2099">
        <v>0.95280870533538164</v>
      </c>
      <c r="AP43" s="2099">
        <v>0.85782659453885091</v>
      </c>
      <c r="AQ43" s="2099">
        <v>0.89775978982182258</v>
      </c>
      <c r="AR43" s="2099">
        <v>0.99984963704322394</v>
      </c>
      <c r="AS43" s="2099">
        <v>1.037328358905351</v>
      </c>
      <c r="AT43" s="2101">
        <v>0.94277716228105846</v>
      </c>
      <c r="AU43" s="2102">
        <v>0.93512749647291049</v>
      </c>
      <c r="AV43" s="2103">
        <v>0.92027659438541798</v>
      </c>
      <c r="AW43" s="2101">
        <v>1.1311142878660636</v>
      </c>
      <c r="AX43" s="2101">
        <v>1.072423990395045</v>
      </c>
      <c r="AY43" s="2101">
        <v>1.0256138436916813</v>
      </c>
      <c r="AZ43" s="2101">
        <v>1.0249855353154154</v>
      </c>
      <c r="BA43" s="2101">
        <v>0.98542156791724966</v>
      </c>
      <c r="BB43" s="2104">
        <v>0.95940581804430547</v>
      </c>
      <c r="BC43" s="2105">
        <v>0.85623695361545937</v>
      </c>
      <c r="BD43" s="2101">
        <v>1.1071176225850643</v>
      </c>
      <c r="BE43" s="2101">
        <v>0.98919181017462343</v>
      </c>
      <c r="BF43" s="2102">
        <v>1.0134349864926404</v>
      </c>
      <c r="BG43" s="2103">
        <v>1.0306819332775226</v>
      </c>
      <c r="BH43" s="2101">
        <v>0.98081857945392648</v>
      </c>
      <c r="BI43" s="2101">
        <v>1.0118264493138505</v>
      </c>
      <c r="BJ43" s="2101">
        <v>0.97191068871259689</v>
      </c>
      <c r="BK43" s="2101">
        <v>0.98296723274794207</v>
      </c>
      <c r="BL43" s="2101">
        <v>1.0033186151187132</v>
      </c>
      <c r="BM43" s="2101">
        <v>0.94508011364134048</v>
      </c>
      <c r="BN43" s="2101">
        <v>0.99250000000000005</v>
      </c>
      <c r="BO43" s="2306">
        <v>0.94340000000000002</v>
      </c>
      <c r="BP43" s="2306">
        <v>1.0202</v>
      </c>
      <c r="BQ43" s="2306">
        <v>0.99539999999999995</v>
      </c>
      <c r="BR43" s="2448">
        <v>0.85029999999999994</v>
      </c>
      <c r="BS43" s="2607">
        <v>1.1746203726572562</v>
      </c>
      <c r="BT43" s="2607">
        <v>0.99680000000000002</v>
      </c>
      <c r="BU43" s="2607">
        <v>0.99320968072997329</v>
      </c>
      <c r="BV43" s="2607">
        <f>+'07_IND_RECAUDACION'!G104</f>
        <v>0.97199999999999998</v>
      </c>
      <c r="BW43" s="2607">
        <v>0.95900790683304504</v>
      </c>
      <c r="BX43" s="2607">
        <v>0.97199999999999998</v>
      </c>
      <c r="BY43" s="2413"/>
      <c r="BZ43" s="1939"/>
      <c r="CA43" s="1940"/>
    </row>
    <row r="44" spans="1:83">
      <c r="A44" s="2830" t="s">
        <v>302</v>
      </c>
      <c r="B44" s="2832" t="s">
        <v>92</v>
      </c>
      <c r="C44" s="2835" t="s">
        <v>106</v>
      </c>
      <c r="D44" s="2864" t="s">
        <v>190</v>
      </c>
      <c r="E44" s="2867" t="s">
        <v>85</v>
      </c>
      <c r="F44" s="2844" t="s">
        <v>81</v>
      </c>
      <c r="G44" s="2870" t="s">
        <v>12</v>
      </c>
      <c r="H44" s="2106" t="s">
        <v>54</v>
      </c>
      <c r="I44" s="1876">
        <v>2203.5500000000002</v>
      </c>
      <c r="J44" s="1877">
        <v>1784.6899999999998</v>
      </c>
      <c r="K44" s="1877">
        <v>1957.66</v>
      </c>
      <c r="L44" s="1877">
        <v>2727.4</v>
      </c>
      <c r="M44" s="1877">
        <v>4924.05</v>
      </c>
      <c r="N44" s="1877">
        <v>1189.95</v>
      </c>
      <c r="O44" s="1877">
        <v>1808.18</v>
      </c>
      <c r="P44" s="1877">
        <v>2144.56</v>
      </c>
      <c r="Q44" s="2107">
        <v>794.78</v>
      </c>
      <c r="R44" s="2108">
        <v>2000.62</v>
      </c>
      <c r="S44" s="1992">
        <v>1463.74</v>
      </c>
      <c r="T44" s="1992">
        <v>2776.3</v>
      </c>
      <c r="U44" s="2109">
        <v>2776.3</v>
      </c>
      <c r="V44" s="2110">
        <v>3924.3100000000004</v>
      </c>
      <c r="W44" s="2110">
        <v>1803.92</v>
      </c>
      <c r="X44" s="2110">
        <v>253.01999999999998</v>
      </c>
      <c r="Y44" s="2110">
        <v>758.7</v>
      </c>
      <c r="Z44" s="2110">
        <v>2186.5299999999997</v>
      </c>
      <c r="AA44" s="2111">
        <v>4346.4399999999996</v>
      </c>
      <c r="AB44" s="2111">
        <v>6439.07</v>
      </c>
      <c r="AC44" s="2112">
        <v>1464.0700000000002</v>
      </c>
      <c r="AD44" s="2113">
        <v>3844.3899999999994</v>
      </c>
      <c r="AE44" s="2110">
        <v>13056.300000000001</v>
      </c>
      <c r="AF44" s="2110">
        <v>739.62</v>
      </c>
      <c r="AG44" s="2110">
        <v>698.43999999999994</v>
      </c>
      <c r="AH44" s="2110">
        <v>706.01</v>
      </c>
      <c r="AI44" s="2112">
        <v>1514.5800000000004</v>
      </c>
      <c r="AJ44" s="2112"/>
      <c r="AK44" s="2114">
        <v>1017.9699999999999</v>
      </c>
      <c r="AL44" s="2114">
        <v>1077.8599999999999</v>
      </c>
      <c r="AM44" s="2114">
        <v>18549.740000000002</v>
      </c>
      <c r="AN44" s="2114">
        <v>252.26999999999998</v>
      </c>
      <c r="AO44" s="2114">
        <v>4893.0400000000009</v>
      </c>
      <c r="AP44" s="2114">
        <v>1464.0700000000002</v>
      </c>
      <c r="AQ44" s="2114">
        <v>15172.66</v>
      </c>
      <c r="AR44" s="2115">
        <v>70194.59</v>
      </c>
      <c r="AS44" s="2115">
        <v>58777.63</v>
      </c>
      <c r="AT44" s="1883">
        <v>42903.34</v>
      </c>
      <c r="AU44" s="1883">
        <v>42439.35</v>
      </c>
      <c r="AV44" s="1882">
        <v>91557.81</v>
      </c>
      <c r="AW44" s="1883">
        <v>125771.1</v>
      </c>
      <c r="AX44" s="1883">
        <v>67748.95</v>
      </c>
      <c r="AY44" s="1883">
        <v>33489.46</v>
      </c>
      <c r="AZ44" s="1883">
        <v>33489.46</v>
      </c>
      <c r="BA44" s="1883">
        <v>30802.65</v>
      </c>
      <c r="BB44" s="2116">
        <v>21084.89</v>
      </c>
      <c r="BC44" s="1881">
        <v>35583.89</v>
      </c>
      <c r="BD44" s="1883">
        <v>14194.27</v>
      </c>
      <c r="BE44" s="1883">
        <v>9416.86</v>
      </c>
      <c r="BF44" s="1883">
        <v>1636.68</v>
      </c>
      <c r="BG44" s="2449">
        <v>2879.68</v>
      </c>
      <c r="BH44" s="2361">
        <v>2186.3200000000002</v>
      </c>
      <c r="BI44" s="2361">
        <v>873.13</v>
      </c>
      <c r="BJ44" s="2361">
        <v>124.6</v>
      </c>
      <c r="BK44" s="2361">
        <v>125.30999999999999</v>
      </c>
      <c r="BL44" s="2361">
        <v>14.2</v>
      </c>
      <c r="BM44" s="2361">
        <v>1.62</v>
      </c>
      <c r="BN44" s="2361">
        <v>77.98</v>
      </c>
      <c r="BO44" s="2362">
        <v>53412.01</v>
      </c>
      <c r="BP44" s="2362">
        <v>10292.969999999999</v>
      </c>
      <c r="BQ44" s="2362">
        <v>1430.93</v>
      </c>
      <c r="BR44" s="2450">
        <v>2070.96</v>
      </c>
      <c r="BS44" s="2450">
        <v>222.71</v>
      </c>
      <c r="BT44" s="2450">
        <v>492.27</v>
      </c>
      <c r="BU44" s="2450">
        <v>77.790000000000006</v>
      </c>
      <c r="BV44" s="2450">
        <f>+'08_CARTERA VENCIDA &gt;30'!E81</f>
        <v>3538.62</v>
      </c>
      <c r="BW44" s="2450">
        <v>846.89</v>
      </c>
      <c r="BX44" s="2450">
        <v>3538.62</v>
      </c>
      <c r="BY44" s="2414">
        <f>SUM(BG44:BR44)</f>
        <v>73489.710000000006</v>
      </c>
      <c r="BZ44" s="2001"/>
      <c r="CA44" s="1940"/>
    </row>
    <row r="45" spans="1:83" ht="13.5" thickBot="1">
      <c r="A45" s="2830"/>
      <c r="B45" s="2833"/>
      <c r="C45" s="2836"/>
      <c r="D45" s="2865"/>
      <c r="E45" s="2868"/>
      <c r="F45" s="2845"/>
      <c r="G45" s="2860"/>
      <c r="H45" s="2307" t="s">
        <v>55</v>
      </c>
      <c r="I45" s="1892">
        <v>17788.95</v>
      </c>
      <c r="J45" s="1893">
        <v>14325.520000000002</v>
      </c>
      <c r="K45" s="1893">
        <v>18010.759999999998</v>
      </c>
      <c r="L45" s="1893">
        <v>14146.6</v>
      </c>
      <c r="M45" s="1893">
        <v>12836.140000000001</v>
      </c>
      <c r="N45" s="1893">
        <v>13723.609999999999</v>
      </c>
      <c r="O45" s="1893">
        <v>15178.22</v>
      </c>
      <c r="P45" s="1893">
        <v>15044.2</v>
      </c>
      <c r="Q45" s="2117">
        <v>14147.16</v>
      </c>
      <c r="R45" s="2118">
        <v>17170.52</v>
      </c>
      <c r="S45" s="1893">
        <v>15352.72</v>
      </c>
      <c r="T45" s="1893">
        <v>19352.080000000002</v>
      </c>
      <c r="U45" s="2117">
        <v>19352.080000000002</v>
      </c>
      <c r="V45" s="1895">
        <v>25805.62</v>
      </c>
      <c r="W45" s="1895">
        <v>16242.630000000001</v>
      </c>
      <c r="X45" s="1895">
        <v>14808.66</v>
      </c>
      <c r="Y45" s="1895">
        <v>14829.319999999998</v>
      </c>
      <c r="Z45" s="1895">
        <v>15927.149999999998</v>
      </c>
      <c r="AA45" s="1896">
        <v>22481.160000000003</v>
      </c>
      <c r="AB45" s="1896">
        <v>27619.91</v>
      </c>
      <c r="AC45" s="1897">
        <v>29498.270000000004</v>
      </c>
      <c r="AD45" s="1905">
        <v>32521.689999999995</v>
      </c>
      <c r="AE45" s="1895">
        <v>26352.239999999998</v>
      </c>
      <c r="AF45" s="1895">
        <v>22638.289999999994</v>
      </c>
      <c r="AG45" s="1895">
        <v>24184.69</v>
      </c>
      <c r="AH45" s="1895">
        <v>22446.760000000002</v>
      </c>
      <c r="AI45" s="1897">
        <v>21425.33</v>
      </c>
      <c r="AJ45" s="1897"/>
      <c r="AK45" s="2119">
        <v>22848.11</v>
      </c>
      <c r="AL45" s="2119">
        <v>19760.939999999999</v>
      </c>
      <c r="AM45" s="2119">
        <v>192.05</v>
      </c>
      <c r="AN45" s="2119">
        <v>16544.77</v>
      </c>
      <c r="AO45" s="2119">
        <v>10751.89</v>
      </c>
      <c r="AP45" s="2119">
        <v>29498.270000000004</v>
      </c>
      <c r="AQ45" s="2119">
        <v>10732.4</v>
      </c>
      <c r="AR45" s="1899">
        <v>10734.22</v>
      </c>
      <c r="AS45" s="1899">
        <v>12210.05</v>
      </c>
      <c r="AT45" s="1899">
        <v>16378.33</v>
      </c>
      <c r="AU45" s="1899">
        <v>16191.31</v>
      </c>
      <c r="AV45" s="1905">
        <v>20758.650000000001</v>
      </c>
      <c r="AW45" s="1899">
        <v>16354.76</v>
      </c>
      <c r="AX45" s="1899">
        <v>14353.31</v>
      </c>
      <c r="AY45" s="1899">
        <v>12924.88</v>
      </c>
      <c r="AZ45" s="1899">
        <v>12924.88</v>
      </c>
      <c r="BA45" s="1899">
        <v>14521.71</v>
      </c>
      <c r="BB45" s="2119">
        <v>15438.08</v>
      </c>
      <c r="BC45" s="1897">
        <v>18509.47</v>
      </c>
      <c r="BD45" s="1899">
        <v>20207.28</v>
      </c>
      <c r="BE45" s="1899">
        <v>18848.330000000002</v>
      </c>
      <c r="BF45" s="1899">
        <v>17790.060000000001</v>
      </c>
      <c r="BG45" s="2451">
        <v>14955.95</v>
      </c>
      <c r="BH45" s="2363">
        <v>12145.04</v>
      </c>
      <c r="BI45" s="2363">
        <v>9370.6</v>
      </c>
      <c r="BJ45" s="2363">
        <v>8837.7099999999991</v>
      </c>
      <c r="BK45" s="2363">
        <v>8888.2300000000014</v>
      </c>
      <c r="BL45" s="2363">
        <v>8543</v>
      </c>
      <c r="BM45" s="2363">
        <v>9372.8499999999985</v>
      </c>
      <c r="BN45" s="2363">
        <v>8740.6699999999983</v>
      </c>
      <c r="BO45" s="2364">
        <v>9105.56</v>
      </c>
      <c r="BP45" s="2364">
        <v>9513.89</v>
      </c>
      <c r="BQ45" s="2364">
        <v>7320.29</v>
      </c>
      <c r="BR45" s="2452">
        <v>7578.12</v>
      </c>
      <c r="BS45" s="2452">
        <v>8393.6299999999992</v>
      </c>
      <c r="BT45" s="2452">
        <v>8908.1200000000008</v>
      </c>
      <c r="BU45" s="2452">
        <v>7568.55</v>
      </c>
      <c r="BV45" s="2452">
        <f>+'08_CARTERA VENCIDA &gt;30'!F81</f>
        <v>11688.99</v>
      </c>
      <c r="BW45" s="2452">
        <v>5022.08</v>
      </c>
      <c r="BX45" s="2452">
        <v>11688.99</v>
      </c>
      <c r="BY45" s="2414">
        <f>SUM(BG45:BR45)</f>
        <v>114371.90999999999</v>
      </c>
      <c r="BZ45" s="2001"/>
      <c r="CA45" s="1940"/>
    </row>
    <row r="46" spans="1:83" s="2131" customFormat="1" ht="13.5" thickBot="1">
      <c r="A46" s="2831"/>
      <c r="B46" s="2862"/>
      <c r="C46" s="2863"/>
      <c r="D46" s="2866"/>
      <c r="E46" s="2858"/>
      <c r="F46" s="2869"/>
      <c r="G46" s="2871"/>
      <c r="H46" s="2308" t="s">
        <v>214</v>
      </c>
      <c r="I46" s="2120">
        <f t="shared" ref="I46:AI46" si="21">SUM(I44:I45)</f>
        <v>19992.5</v>
      </c>
      <c r="J46" s="2121">
        <f t="shared" si="21"/>
        <v>16110.210000000003</v>
      </c>
      <c r="K46" s="2121">
        <f t="shared" si="21"/>
        <v>19968.419999999998</v>
      </c>
      <c r="L46" s="2121">
        <f t="shared" si="21"/>
        <v>16874</v>
      </c>
      <c r="M46" s="2121">
        <f t="shared" si="21"/>
        <v>17760.190000000002</v>
      </c>
      <c r="N46" s="2121">
        <f t="shared" si="21"/>
        <v>14913.56</v>
      </c>
      <c r="O46" s="2121">
        <f t="shared" si="21"/>
        <v>16986.399999999998</v>
      </c>
      <c r="P46" s="2121">
        <f t="shared" si="21"/>
        <v>17188.760000000002</v>
      </c>
      <c r="Q46" s="2122">
        <f t="shared" si="21"/>
        <v>14941.94</v>
      </c>
      <c r="R46" s="2123">
        <f t="shared" si="21"/>
        <v>19171.14</v>
      </c>
      <c r="S46" s="2121">
        <f t="shared" si="21"/>
        <v>16816.46</v>
      </c>
      <c r="T46" s="2121">
        <f t="shared" si="21"/>
        <v>22128.38</v>
      </c>
      <c r="U46" s="2122">
        <f t="shared" si="21"/>
        <v>22128.38</v>
      </c>
      <c r="V46" s="2121">
        <f t="shared" si="21"/>
        <v>29729.93</v>
      </c>
      <c r="W46" s="2121">
        <f t="shared" si="21"/>
        <v>18046.550000000003</v>
      </c>
      <c r="X46" s="2121">
        <f t="shared" si="21"/>
        <v>15061.68</v>
      </c>
      <c r="Y46" s="2121">
        <f t="shared" si="21"/>
        <v>15588.019999999999</v>
      </c>
      <c r="Z46" s="2121">
        <f t="shared" si="21"/>
        <v>18113.679999999997</v>
      </c>
      <c r="AA46" s="2121">
        <f t="shared" si="21"/>
        <v>26827.600000000002</v>
      </c>
      <c r="AB46" s="2121">
        <f t="shared" si="21"/>
        <v>34058.979999999996</v>
      </c>
      <c r="AC46" s="2122">
        <f t="shared" si="21"/>
        <v>30962.340000000004</v>
      </c>
      <c r="AD46" s="2124">
        <f t="shared" si="21"/>
        <v>36366.079999999994</v>
      </c>
      <c r="AE46" s="2121">
        <f t="shared" si="21"/>
        <v>39408.54</v>
      </c>
      <c r="AF46" s="2121">
        <f t="shared" si="21"/>
        <v>23377.909999999993</v>
      </c>
      <c r="AG46" s="2121">
        <f t="shared" si="21"/>
        <v>24883.129999999997</v>
      </c>
      <c r="AH46" s="2121">
        <f t="shared" si="21"/>
        <v>23152.77</v>
      </c>
      <c r="AI46" s="2125">
        <f t="shared" si="21"/>
        <v>22939.910000000003</v>
      </c>
      <c r="AJ46" s="2125"/>
      <c r="AK46" s="2126">
        <f t="shared" ref="AK46:AX46" si="22">SUM(AK44:AK45)</f>
        <v>23866.080000000002</v>
      </c>
      <c r="AL46" s="2126">
        <f t="shared" si="22"/>
        <v>20838.8</v>
      </c>
      <c r="AM46" s="2126">
        <f t="shared" si="22"/>
        <v>18741.79</v>
      </c>
      <c r="AN46" s="2126">
        <f t="shared" si="22"/>
        <v>16797.04</v>
      </c>
      <c r="AO46" s="2126">
        <f t="shared" si="22"/>
        <v>15644.93</v>
      </c>
      <c r="AP46" s="2126">
        <f t="shared" si="22"/>
        <v>30962.340000000004</v>
      </c>
      <c r="AQ46" s="2126">
        <f t="shared" si="22"/>
        <v>25905.059999999998</v>
      </c>
      <c r="AR46" s="2126">
        <f t="shared" si="22"/>
        <v>80928.81</v>
      </c>
      <c r="AS46" s="2126">
        <f t="shared" si="22"/>
        <v>70987.679999999993</v>
      </c>
      <c r="AT46" s="2126">
        <f t="shared" si="22"/>
        <v>59281.67</v>
      </c>
      <c r="AU46" s="2122">
        <f t="shared" si="22"/>
        <v>58630.659999999996</v>
      </c>
      <c r="AV46" s="2127">
        <f t="shared" si="22"/>
        <v>112316.45999999999</v>
      </c>
      <c r="AW46" s="2126">
        <f t="shared" si="22"/>
        <v>142125.86000000002</v>
      </c>
      <c r="AX46" s="2126">
        <f t="shared" si="22"/>
        <v>82102.259999999995</v>
      </c>
      <c r="AY46" s="2126">
        <f>SUM(AY44:AY45)</f>
        <v>46414.34</v>
      </c>
      <c r="AZ46" s="2126">
        <f t="shared" ref="AZ46:BR46" si="23">SUM(AZ44:AZ45)</f>
        <v>46414.34</v>
      </c>
      <c r="BA46" s="2126">
        <f t="shared" si="23"/>
        <v>45324.36</v>
      </c>
      <c r="BB46" s="2126">
        <f t="shared" si="23"/>
        <v>36522.97</v>
      </c>
      <c r="BC46" s="2128">
        <f t="shared" si="23"/>
        <v>54093.36</v>
      </c>
      <c r="BD46" s="2126">
        <f t="shared" si="23"/>
        <v>34401.550000000003</v>
      </c>
      <c r="BE46" s="2126">
        <f t="shared" si="23"/>
        <v>28265.190000000002</v>
      </c>
      <c r="BF46" s="2122">
        <f t="shared" si="23"/>
        <v>19426.740000000002</v>
      </c>
      <c r="BG46" s="2365">
        <f t="shared" si="23"/>
        <v>17835.63</v>
      </c>
      <c r="BH46" s="2366">
        <f t="shared" si="23"/>
        <v>14331.36</v>
      </c>
      <c r="BI46" s="2366">
        <f t="shared" si="23"/>
        <v>10243.73</v>
      </c>
      <c r="BJ46" s="2366">
        <f t="shared" si="23"/>
        <v>8962.31</v>
      </c>
      <c r="BK46" s="2366">
        <f t="shared" si="23"/>
        <v>9013.5400000000009</v>
      </c>
      <c r="BL46" s="2366">
        <f t="shared" si="23"/>
        <v>8557.2000000000007</v>
      </c>
      <c r="BM46" s="2366">
        <f t="shared" si="23"/>
        <v>9374.4699999999993</v>
      </c>
      <c r="BN46" s="2366">
        <f t="shared" si="23"/>
        <v>8818.6499999999978</v>
      </c>
      <c r="BO46" s="2366">
        <f t="shared" si="23"/>
        <v>62517.57</v>
      </c>
      <c r="BP46" s="2366">
        <f t="shared" si="23"/>
        <v>19806.86</v>
      </c>
      <c r="BQ46" s="2366">
        <f t="shared" si="23"/>
        <v>8751.2199999999993</v>
      </c>
      <c r="BR46" s="2453">
        <f t="shared" si="23"/>
        <v>9649.08</v>
      </c>
      <c r="BS46" s="2453">
        <v>8616.3399999999983</v>
      </c>
      <c r="BT46" s="2453">
        <v>9400.3900000000012</v>
      </c>
      <c r="BU46" s="2453">
        <v>7646.34</v>
      </c>
      <c r="BV46" s="2453">
        <f>SUM(BV44:BV45)</f>
        <v>15227.61</v>
      </c>
      <c r="BW46" s="2453">
        <v>5868.97</v>
      </c>
      <c r="BX46" s="2453">
        <v>15227.61</v>
      </c>
      <c r="BY46" s="2367">
        <f>SUM(BG46:BR47)</f>
        <v>187870.78760100433</v>
      </c>
      <c r="BZ46" s="2129"/>
      <c r="CA46" s="2130"/>
    </row>
    <row r="47" spans="1:83" ht="128.25" thickBot="1">
      <c r="A47" s="2089" t="s">
        <v>303</v>
      </c>
      <c r="B47" s="2132" t="s">
        <v>93</v>
      </c>
      <c r="C47" s="2133" t="s">
        <v>104</v>
      </c>
      <c r="D47" s="2134" t="s">
        <v>94</v>
      </c>
      <c r="E47" s="2135" t="s">
        <v>30</v>
      </c>
      <c r="F47" s="2136" t="s">
        <v>68</v>
      </c>
      <c r="G47" s="2137" t="s">
        <v>103</v>
      </c>
      <c r="H47" s="2138" t="s">
        <v>91</v>
      </c>
      <c r="I47" s="2139">
        <v>6.6600000000000006E-2</v>
      </c>
      <c r="J47" s="2140">
        <v>7.1400000000000005E-2</v>
      </c>
      <c r="K47" s="2140">
        <v>6.8000000000000005E-2</v>
      </c>
      <c r="L47" s="2140">
        <v>6.8199999999999997E-2</v>
      </c>
      <c r="M47" s="2140">
        <v>6.7799999999999999E-2</v>
      </c>
      <c r="N47" s="2140">
        <v>7.1800000000000003E-2</v>
      </c>
      <c r="O47" s="2140">
        <v>7.5999999999999998E-2</v>
      </c>
      <c r="P47" s="2140">
        <v>7.3400000000000007E-2</v>
      </c>
      <c r="Q47" s="2141">
        <v>7.5600000000000001E-2</v>
      </c>
      <c r="R47" s="2142">
        <v>8.1000000000000003E-2</v>
      </c>
      <c r="S47" s="2140">
        <v>8.77E-2</v>
      </c>
      <c r="T47" s="2140">
        <v>8.6999999999999994E-2</v>
      </c>
      <c r="U47" s="2140">
        <v>9.01E-2</v>
      </c>
      <c r="V47" s="2143">
        <v>8.3699999999999997E-2</v>
      </c>
      <c r="W47" s="2143">
        <v>8.6499999999999994E-2</v>
      </c>
      <c r="X47" s="2143">
        <v>8.4400000000000003E-2</v>
      </c>
      <c r="Y47" s="2143">
        <v>8.3199999999999996E-2</v>
      </c>
      <c r="Z47" s="2143">
        <v>8.3000000000000004E-2</v>
      </c>
      <c r="AA47" s="2144">
        <v>8.2500000000000004E-2</v>
      </c>
      <c r="AB47" s="2144">
        <v>8.5199999999999998E-2</v>
      </c>
      <c r="AC47" s="2145">
        <v>8.0399999999999999E-2</v>
      </c>
      <c r="AD47" s="2146">
        <v>7.8969968777486493E-2</v>
      </c>
      <c r="AE47" s="2147">
        <v>8.0669738070094782E-2</v>
      </c>
      <c r="AF47" s="2147">
        <v>7.9789879352878179E-2</v>
      </c>
      <c r="AG47" s="2147">
        <v>7.8105094890615512E-2</v>
      </c>
      <c r="AH47" s="2144">
        <v>7.9039605574206154E-2</v>
      </c>
      <c r="AI47" s="2148">
        <v>8.2770829070485399E-2</v>
      </c>
      <c r="AJ47" s="2148"/>
      <c r="AK47" s="2144">
        <v>8.2836318364091083E-2</v>
      </c>
      <c r="AL47" s="2144">
        <v>8.1742750107166723E-2</v>
      </c>
      <c r="AM47" s="2144">
        <v>7.9648140890969277E-2</v>
      </c>
      <c r="AN47" s="2144">
        <v>7.908728546804504E-2</v>
      </c>
      <c r="AO47" s="2144">
        <v>8.4646751398290684E-2</v>
      </c>
      <c r="AP47" s="2144">
        <v>8.6375471945623408E-2</v>
      </c>
      <c r="AQ47" s="2144">
        <v>9.2207531827834199E-2</v>
      </c>
      <c r="AR47" s="2144">
        <v>8.7124208299520306E-2</v>
      </c>
      <c r="AS47" s="2144">
        <v>9.0800000000000006E-2</v>
      </c>
      <c r="AT47" s="2144">
        <v>8.5699999999999998E-2</v>
      </c>
      <c r="AU47" s="2145">
        <v>8.9846454101579501E-2</v>
      </c>
      <c r="AV47" s="2149">
        <v>8.5467314083035803E-2</v>
      </c>
      <c r="AW47" s="2144">
        <v>8.5999999999999993E-2</v>
      </c>
      <c r="AX47" s="2144">
        <v>8.8499999999999995E-2</v>
      </c>
      <c r="AY47" s="2144">
        <v>9.2200000000000004E-2</v>
      </c>
      <c r="AZ47" s="2144">
        <v>9.3100000000000002E-2</v>
      </c>
      <c r="BA47" s="2144">
        <v>8.8900000000000007E-2</v>
      </c>
      <c r="BB47" s="2150">
        <v>9.1700000000000004E-2</v>
      </c>
      <c r="BC47" s="2151">
        <v>8.7647715611905194E-2</v>
      </c>
      <c r="BD47" s="2144">
        <v>8.3175148460694195E-2</v>
      </c>
      <c r="BE47" s="2144">
        <v>8.6272359367618498E-2</v>
      </c>
      <c r="BF47" s="2145">
        <v>8.48E-2</v>
      </c>
      <c r="BG47" s="2454">
        <v>7.9100000000000004E-2</v>
      </c>
      <c r="BH47" s="2368">
        <v>8.27</v>
      </c>
      <c r="BI47" s="2368">
        <v>8.3316806109651698E-2</v>
      </c>
      <c r="BJ47" s="2368">
        <v>8.4684198199706504E-2</v>
      </c>
      <c r="BK47" s="2368">
        <v>8.2400000000000001E-2</v>
      </c>
      <c r="BL47" s="2368">
        <v>8.2000000000000003E-2</v>
      </c>
      <c r="BM47" s="2368">
        <v>7.6999999999999999E-2</v>
      </c>
      <c r="BN47" s="2368">
        <v>7.9600000000000004E-2</v>
      </c>
      <c r="BO47" s="2368">
        <v>8.2299999999999998E-2</v>
      </c>
      <c r="BP47" s="2368">
        <v>8.0500000000000002E-2</v>
      </c>
      <c r="BQ47" s="2368">
        <v>8.1699999999999995E-2</v>
      </c>
      <c r="BR47" s="2455">
        <v>8.5000000000000006E-2</v>
      </c>
      <c r="BS47" s="2604">
        <v>7.815702634211659E-2</v>
      </c>
      <c r="BT47" s="2604">
        <v>7.7223810575379734E-2</v>
      </c>
      <c r="BU47" s="2604">
        <v>8.1740675114585798E-2</v>
      </c>
      <c r="BV47" s="2604">
        <f>+'09_PÉRDIDAS '!C86</f>
        <v>7.9887102777438797</v>
      </c>
      <c r="BW47" s="2604">
        <v>7.9809560299158697</v>
      </c>
      <c r="BX47" s="2604">
        <v>7.9887102777438797</v>
      </c>
      <c r="BY47" s="2415"/>
      <c r="BZ47" s="1939"/>
      <c r="CA47" s="1940"/>
    </row>
    <row r="48" spans="1:83" s="2171" customFormat="1" ht="25.5">
      <c r="A48" s="2849" t="s">
        <v>304</v>
      </c>
      <c r="B48" s="2851" t="s">
        <v>95</v>
      </c>
      <c r="C48" s="2853" t="s">
        <v>589</v>
      </c>
      <c r="D48" s="2855" t="s">
        <v>31</v>
      </c>
      <c r="E48" s="2857" t="s">
        <v>60</v>
      </c>
      <c r="F48" s="2847" t="s">
        <v>68</v>
      </c>
      <c r="G48" s="2152" t="s">
        <v>269</v>
      </c>
      <c r="H48" s="2153" t="s">
        <v>91</v>
      </c>
      <c r="I48" s="2154">
        <v>15.42</v>
      </c>
      <c r="J48" s="2155">
        <v>12.31</v>
      </c>
      <c r="K48" s="2155">
        <v>11.74</v>
      </c>
      <c r="L48" s="2155">
        <v>13.76</v>
      </c>
      <c r="M48" s="2155">
        <v>12.3</v>
      </c>
      <c r="N48" s="2155">
        <v>12.1</v>
      </c>
      <c r="O48" s="2155">
        <v>16.48</v>
      </c>
      <c r="P48" s="2155">
        <v>16.68</v>
      </c>
      <c r="Q48" s="2156">
        <v>17.170000000000002</v>
      </c>
      <c r="R48" s="2157">
        <v>20.28</v>
      </c>
      <c r="S48" s="2155">
        <v>19.77</v>
      </c>
      <c r="T48" s="2155">
        <v>16.5</v>
      </c>
      <c r="U48" s="2155">
        <v>16.13</v>
      </c>
      <c r="V48" s="2155">
        <v>23.36</v>
      </c>
      <c r="W48" s="2158">
        <v>22.99</v>
      </c>
      <c r="X48" s="2158">
        <v>22.31</v>
      </c>
      <c r="Y48" s="2158">
        <v>28.41</v>
      </c>
      <c r="Z48" s="2158">
        <v>25.96</v>
      </c>
      <c r="AA48" s="2158">
        <v>30.3</v>
      </c>
      <c r="AB48" s="2158">
        <v>30.553244455285125</v>
      </c>
      <c r="AC48" s="2159">
        <v>30.102351090690838</v>
      </c>
      <c r="AD48" s="2160">
        <v>25.99</v>
      </c>
      <c r="AE48" s="2161">
        <v>25.81</v>
      </c>
      <c r="AF48" s="2158">
        <v>25.88</v>
      </c>
      <c r="AG48" s="2158">
        <v>27.18</v>
      </c>
      <c r="AH48" s="2158">
        <v>23.55</v>
      </c>
      <c r="AI48" s="2162">
        <v>26.23</v>
      </c>
      <c r="AJ48" s="2162"/>
      <c r="AK48" s="2163">
        <v>25.02</v>
      </c>
      <c r="AL48" s="2163">
        <v>19.03</v>
      </c>
      <c r="AM48" s="2163">
        <v>19.96</v>
      </c>
      <c r="AN48" s="2163">
        <v>13.92</v>
      </c>
      <c r="AO48" s="2163">
        <v>13.5</v>
      </c>
      <c r="AP48" s="2163">
        <v>14.04</v>
      </c>
      <c r="AQ48" s="2163">
        <v>15.067158133039355</v>
      </c>
      <c r="AR48" s="2163">
        <v>15.216668715093258</v>
      </c>
      <c r="AS48" s="2164">
        <v>16.420000000000002</v>
      </c>
      <c r="AT48" s="2165">
        <v>17.967217877683694</v>
      </c>
      <c r="AU48" s="2164">
        <v>14.990731097402882</v>
      </c>
      <c r="AV48" s="2166">
        <v>11.87</v>
      </c>
      <c r="AW48" s="2167">
        <v>15.6</v>
      </c>
      <c r="AX48" s="2167">
        <v>16.75</v>
      </c>
      <c r="AY48" s="2167">
        <v>16.82</v>
      </c>
      <c r="AZ48" s="2167">
        <v>17.5</v>
      </c>
      <c r="BA48" s="2167">
        <v>17.850000000000001</v>
      </c>
      <c r="BB48" s="2168">
        <v>18.420000000000002</v>
      </c>
      <c r="BC48" s="2169">
        <v>17.73</v>
      </c>
      <c r="BD48" s="2167">
        <v>18.23</v>
      </c>
      <c r="BE48" s="2167">
        <v>17.489999999999998</v>
      </c>
      <c r="BF48" s="2395">
        <v>14.61379074582322</v>
      </c>
      <c r="BG48" s="2456">
        <v>14.203037819070321</v>
      </c>
      <c r="BH48" s="2369">
        <v>14.578906803085351</v>
      </c>
      <c r="BI48" s="2369">
        <v>11.678409852237843</v>
      </c>
      <c r="BJ48" s="2369">
        <v>11.695879288034952</v>
      </c>
      <c r="BK48" s="2369">
        <v>10.959419720108944</v>
      </c>
      <c r="BL48" s="2369">
        <v>11.541759237672437</v>
      </c>
      <c r="BM48" s="2369">
        <v>10.86068594890283</v>
      </c>
      <c r="BN48" s="2369">
        <v>11.256915487951725</v>
      </c>
      <c r="BO48" s="2369">
        <v>10.423215453953436</v>
      </c>
      <c r="BP48" s="2369">
        <v>10.371714530958222</v>
      </c>
      <c r="BQ48" s="2369">
        <v>9.7049545188142439</v>
      </c>
      <c r="BR48" s="2370">
        <v>9.7865191165921974</v>
      </c>
      <c r="BS48" s="2370">
        <v>9.8746494768019879</v>
      </c>
      <c r="BT48" s="2370">
        <v>12.023031</v>
      </c>
      <c r="BU48" s="2370">
        <v>11.930329</v>
      </c>
      <c r="BV48" s="2370">
        <f>+'10_TTIK_2013_cabecera '!B100</f>
        <v>10.287202342824923</v>
      </c>
      <c r="BW48" s="2370">
        <v>10.771116140158041</v>
      </c>
      <c r="BX48" s="2370">
        <v>10.287202342824923</v>
      </c>
      <c r="BY48" s="2416"/>
      <c r="BZ48" s="2170"/>
      <c r="CA48" s="1940"/>
    </row>
    <row r="49" spans="1:79" s="2171" customFormat="1" ht="13.5" thickBot="1">
      <c r="A49" s="2850"/>
      <c r="B49" s="2852"/>
      <c r="C49" s="2854"/>
      <c r="D49" s="2856"/>
      <c r="E49" s="2858"/>
      <c r="F49" s="2848"/>
      <c r="G49" s="2172" t="s">
        <v>270</v>
      </c>
      <c r="H49" s="2173" t="s">
        <v>91</v>
      </c>
      <c r="I49" s="2174">
        <v>0.62348132183908045</v>
      </c>
      <c r="J49" s="2175">
        <v>0.29852729885057472</v>
      </c>
      <c r="K49" s="2175">
        <v>1.2007313218390803</v>
      </c>
      <c r="L49" s="2175">
        <v>2.0191690613026818</v>
      </c>
      <c r="M49" s="2175">
        <v>0.33849377394636088</v>
      </c>
      <c r="N49" s="2175">
        <v>2.7962883141762451</v>
      </c>
      <c r="O49" s="2175">
        <v>2.4786685823754797</v>
      </c>
      <c r="P49" s="2175">
        <v>0.70301724137931032</v>
      </c>
      <c r="Q49" s="2176">
        <v>0.56969588125474468</v>
      </c>
      <c r="R49" s="2177">
        <v>4.9100231797673732</v>
      </c>
      <c r="S49" s="2175">
        <v>0.34230514508050847</v>
      </c>
      <c r="T49" s="2175">
        <v>0.22009396084275018</v>
      </c>
      <c r="U49" s="2175">
        <v>0.25041806366157537</v>
      </c>
      <c r="V49" s="2175">
        <v>7.5309305020903174</v>
      </c>
      <c r="W49" s="2178">
        <v>0.82739351794362348</v>
      </c>
      <c r="X49" s="2178">
        <v>1.343101949584006</v>
      </c>
      <c r="Y49" s="2178">
        <v>6.4408915931950821</v>
      </c>
      <c r="Z49" s="2178">
        <v>0.33959394014652933</v>
      </c>
      <c r="AA49" s="2179">
        <v>6.8184879341032323</v>
      </c>
      <c r="AB49" s="2179">
        <v>0.96030878761538163</v>
      </c>
      <c r="AC49" s="2180">
        <v>0.11880251666045755</v>
      </c>
      <c r="AD49" s="2181">
        <v>0.79869498000000005</v>
      </c>
      <c r="AE49" s="2182">
        <v>0.16552542000000001</v>
      </c>
      <c r="AF49" s="2183">
        <v>0.28739337999999998</v>
      </c>
      <c r="AG49" s="2183">
        <v>1.5449863500000001</v>
      </c>
      <c r="AH49" s="2183">
        <v>3.9054281799999999</v>
      </c>
      <c r="AI49" s="2184">
        <v>3.5040344600000002</v>
      </c>
      <c r="AJ49" s="2184"/>
      <c r="AK49" s="2183">
        <v>0.13156602000000001</v>
      </c>
      <c r="AL49" s="2183">
        <v>0.45860400000000001</v>
      </c>
      <c r="AM49" s="2183">
        <v>1.266483</v>
      </c>
      <c r="AN49" s="2183">
        <v>0.77602400000000005</v>
      </c>
      <c r="AO49" s="2183">
        <v>0.53831700000000005</v>
      </c>
      <c r="AP49" s="2183">
        <v>0.66362631999999999</v>
      </c>
      <c r="AQ49" s="2183">
        <v>1.82517</v>
      </c>
      <c r="AR49" s="2185">
        <v>0.31503599999999998</v>
      </c>
      <c r="AS49" s="2186">
        <v>1.5254531329186425</v>
      </c>
      <c r="AT49" s="2187">
        <v>3.0574757635510141</v>
      </c>
      <c r="AU49" s="2186">
        <v>0.92894140122720192</v>
      </c>
      <c r="AV49" s="2188">
        <v>0.3019760906414477</v>
      </c>
      <c r="AW49" s="2189">
        <v>3.8683498379479877</v>
      </c>
      <c r="AX49" s="2189">
        <v>1.6080381836578852</v>
      </c>
      <c r="AY49" s="2189">
        <v>1.3319646415111479</v>
      </c>
      <c r="AZ49" s="2189">
        <v>1.46</v>
      </c>
      <c r="BA49" s="2189">
        <v>0.89</v>
      </c>
      <c r="BB49" s="2190">
        <v>1.2384623962775345</v>
      </c>
      <c r="BC49" s="2191">
        <v>1.1284039681854461</v>
      </c>
      <c r="BD49" s="2189">
        <v>0.82168217188389592</v>
      </c>
      <c r="BE49" s="2189">
        <v>0.85781936432588413</v>
      </c>
      <c r="BF49" s="2396">
        <v>0.18286207538864444</v>
      </c>
      <c r="BG49" s="2457">
        <v>0.51818847447430461</v>
      </c>
      <c r="BH49" s="2371">
        <v>0.67784507465647692</v>
      </c>
      <c r="BI49" s="2371">
        <v>0.96785288710048023</v>
      </c>
      <c r="BJ49" s="2371">
        <v>1.6255076194549951</v>
      </c>
      <c r="BK49" s="2371">
        <v>0.59550507358513716</v>
      </c>
      <c r="BL49" s="2371">
        <v>2.0411906639465163</v>
      </c>
      <c r="BM49" s="2371">
        <v>0.20536617962351661</v>
      </c>
      <c r="BN49" s="2371">
        <v>1.6346919353264282</v>
      </c>
      <c r="BO49" s="2371">
        <v>0.2947039341871584</v>
      </c>
      <c r="BP49" s="2371">
        <v>0.77018124888867878</v>
      </c>
      <c r="BQ49" s="2371">
        <v>0.19105935218190556</v>
      </c>
      <c r="BR49" s="2458">
        <v>0.26442667316659746</v>
      </c>
      <c r="BS49" s="2458">
        <v>0.60631883468409487</v>
      </c>
      <c r="BT49" s="2458">
        <v>2.82622675</v>
      </c>
      <c r="BU49" s="2458">
        <v>0.87515107000000003</v>
      </c>
      <c r="BV49" s="2458">
        <f>+'10_TTIK_2013_cabecera '!C100</f>
        <v>0.11159127625201938</v>
      </c>
      <c r="BW49" s="2458">
        <v>0.466294426471069</v>
      </c>
      <c r="BX49" s="2458">
        <v>0.11159127625201938</v>
      </c>
      <c r="BY49" s="2417"/>
      <c r="BZ49" s="2170"/>
      <c r="CA49" s="1940"/>
    </row>
    <row r="50" spans="1:79" s="2171" customFormat="1" ht="25.5">
      <c r="A50" s="2849" t="s">
        <v>305</v>
      </c>
      <c r="B50" s="2851" t="s">
        <v>95</v>
      </c>
      <c r="C50" s="2853" t="s">
        <v>590</v>
      </c>
      <c r="D50" s="2855" t="s">
        <v>96</v>
      </c>
      <c r="E50" s="2857" t="s">
        <v>46</v>
      </c>
      <c r="F50" s="2847" t="s">
        <v>68</v>
      </c>
      <c r="G50" s="2152" t="s">
        <v>269</v>
      </c>
      <c r="H50" s="2153" t="s">
        <v>91</v>
      </c>
      <c r="I50" s="2192">
        <v>16.12</v>
      </c>
      <c r="J50" s="2193">
        <v>13.53</v>
      </c>
      <c r="K50" s="2193">
        <v>13.53</v>
      </c>
      <c r="L50" s="2193">
        <v>14.41</v>
      </c>
      <c r="M50" s="2193">
        <v>14.24</v>
      </c>
      <c r="N50" s="2193">
        <v>14.53</v>
      </c>
      <c r="O50" s="2193">
        <v>14.95</v>
      </c>
      <c r="P50" s="2193">
        <v>14.9</v>
      </c>
      <c r="Q50" s="2194">
        <v>15.29</v>
      </c>
      <c r="R50" s="2195">
        <v>14.52</v>
      </c>
      <c r="S50" s="2193">
        <v>13.06</v>
      </c>
      <c r="T50" s="2193">
        <v>11.58</v>
      </c>
      <c r="U50" s="2193">
        <v>10.71</v>
      </c>
      <c r="V50" s="2193">
        <v>11.77</v>
      </c>
      <c r="W50" s="2196">
        <v>10.66</v>
      </c>
      <c r="X50" s="2196">
        <v>10.06</v>
      </c>
      <c r="Y50" s="2196">
        <v>10.7</v>
      </c>
      <c r="Z50" s="2193">
        <v>9.27</v>
      </c>
      <c r="AA50" s="2192">
        <v>10.43</v>
      </c>
      <c r="AB50" s="2197">
        <v>11.24</v>
      </c>
      <c r="AC50" s="2198">
        <v>10.98</v>
      </c>
      <c r="AD50" s="2199">
        <v>9.5500000000000007</v>
      </c>
      <c r="AE50" s="2161">
        <v>9.49</v>
      </c>
      <c r="AF50" s="2197">
        <v>9.66</v>
      </c>
      <c r="AG50" s="2197">
        <v>10.54</v>
      </c>
      <c r="AH50" s="2197">
        <v>10.039999999999999</v>
      </c>
      <c r="AI50" s="2200">
        <v>11.15</v>
      </c>
      <c r="AJ50" s="2200"/>
      <c r="AK50" s="2201">
        <v>11.04</v>
      </c>
      <c r="AL50" s="2201">
        <v>10.63</v>
      </c>
      <c r="AM50" s="2201">
        <v>11.58</v>
      </c>
      <c r="AN50" s="2201">
        <v>10.24</v>
      </c>
      <c r="AO50" s="2201">
        <v>9.92</v>
      </c>
      <c r="AP50" s="2201">
        <v>10.79</v>
      </c>
      <c r="AQ50" s="2201">
        <v>10.718831562947798</v>
      </c>
      <c r="AR50" s="2201">
        <v>10.967794680655063</v>
      </c>
      <c r="AS50" s="2201">
        <v>11.9</v>
      </c>
      <c r="AT50" s="2201">
        <v>12.930647942395591</v>
      </c>
      <c r="AU50" s="2202">
        <v>12.02539249671036</v>
      </c>
      <c r="AV50" s="2166">
        <v>11.46</v>
      </c>
      <c r="AW50" s="2167">
        <v>13.21</v>
      </c>
      <c r="AX50" s="2167">
        <v>13.44</v>
      </c>
      <c r="AY50" s="2167">
        <v>13.16</v>
      </c>
      <c r="AZ50" s="2167">
        <v>13.9</v>
      </c>
      <c r="BA50" s="2167">
        <v>14.75</v>
      </c>
      <c r="BB50" s="2168">
        <v>14.9</v>
      </c>
      <c r="BC50" s="2169">
        <v>15.77</v>
      </c>
      <c r="BD50" s="2167">
        <v>15.57</v>
      </c>
      <c r="BE50" s="2167">
        <v>15.81</v>
      </c>
      <c r="BF50" s="2395">
        <v>13.854722781646156</v>
      </c>
      <c r="BG50" s="2456">
        <v>13.736004786332089</v>
      </c>
      <c r="BH50" s="2369">
        <v>14.209219517372707</v>
      </c>
      <c r="BI50" s="2369">
        <v>13.41</v>
      </c>
      <c r="BJ50" s="2369">
        <v>13.35</v>
      </c>
      <c r="BK50" s="2369">
        <v>13.05518930618639</v>
      </c>
      <c r="BL50" s="2369">
        <v>12.185808465861342</v>
      </c>
      <c r="BM50" s="2369">
        <v>11.016174100904879</v>
      </c>
      <c r="BN50" s="2369">
        <v>10.546310175557226</v>
      </c>
      <c r="BO50" s="2372">
        <v>9.508295321242473</v>
      </c>
      <c r="BP50" s="2372">
        <v>9.4927354893136702</v>
      </c>
      <c r="BQ50" s="2372">
        <v>7.9139285181588175</v>
      </c>
      <c r="BR50" s="2459">
        <v>8.0293050047360293</v>
      </c>
      <c r="BS50" s="2370">
        <v>7.7915413071250335</v>
      </c>
      <c r="BT50" s="2370">
        <v>8.0265640000000005</v>
      </c>
      <c r="BU50" s="2370">
        <v>7.2988410000000004</v>
      </c>
      <c r="BV50" s="2370">
        <f>+'11_FMIK_2013_cabecera '!B100</f>
        <v>5.7871767291379541</v>
      </c>
      <c r="BW50" s="2370">
        <v>6.3859850672912444</v>
      </c>
      <c r="BX50" s="2370">
        <v>5.7871767291379541</v>
      </c>
      <c r="BY50" s="2416"/>
      <c r="BZ50" s="2170"/>
      <c r="CA50" s="1940"/>
    </row>
    <row r="51" spans="1:79" s="2209" customFormat="1" ht="13.5" thickBot="1">
      <c r="A51" s="2850"/>
      <c r="B51" s="2852"/>
      <c r="C51" s="2854"/>
      <c r="D51" s="2856"/>
      <c r="E51" s="2858"/>
      <c r="F51" s="2848"/>
      <c r="G51" s="2172" t="s">
        <v>270</v>
      </c>
      <c r="H51" s="2173" t="s">
        <v>91</v>
      </c>
      <c r="I51" s="2203">
        <v>1.298132183908046</v>
      </c>
      <c r="J51" s="2204">
        <v>1.0142241379310344</v>
      </c>
      <c r="K51" s="2204">
        <v>1.3853448275862068</v>
      </c>
      <c r="L51" s="2204">
        <v>0.8793103448275863</v>
      </c>
      <c r="M51" s="2204">
        <v>0.85402298850574709</v>
      </c>
      <c r="N51" s="2204">
        <v>1.6725574712643678</v>
      </c>
      <c r="O51" s="2204">
        <v>0.92873563218390798</v>
      </c>
      <c r="P51" s="2204">
        <v>0.35258620689655173</v>
      </c>
      <c r="Q51" s="2205">
        <v>0.46163793103448275</v>
      </c>
      <c r="R51" s="2206">
        <v>1.9552961629206507</v>
      </c>
      <c r="S51" s="2204">
        <v>0.52166894325096236</v>
      </c>
      <c r="T51" s="2204">
        <v>0.25543275797839315</v>
      </c>
      <c r="U51" s="2204">
        <v>0.42791506270954927</v>
      </c>
      <c r="V51" s="2204">
        <v>2.0732646218800443</v>
      </c>
      <c r="W51" s="2207">
        <v>0.27579783931454116</v>
      </c>
      <c r="X51" s="2207">
        <v>0.28473860673041101</v>
      </c>
      <c r="Y51" s="2207">
        <v>1.4902520799701975</v>
      </c>
      <c r="Z51" s="2204">
        <v>0.24065565627716379</v>
      </c>
      <c r="AA51" s="2203">
        <v>2.0900285607848006</v>
      </c>
      <c r="AB51" s="2208">
        <v>1.1652800198683719</v>
      </c>
      <c r="AC51" s="2180">
        <v>0.20352663603625978</v>
      </c>
      <c r="AD51" s="2181">
        <v>0.52047083000000005</v>
      </c>
      <c r="AE51" s="2182">
        <v>0.46499488</v>
      </c>
      <c r="AF51" s="2183">
        <v>0.41862844999999999</v>
      </c>
      <c r="AG51" s="2183">
        <v>1.31617195</v>
      </c>
      <c r="AH51" s="2183">
        <v>1.5694984599999999</v>
      </c>
      <c r="AI51" s="2184">
        <v>1.38874104</v>
      </c>
      <c r="AJ51" s="2184"/>
      <c r="AK51" s="2183">
        <v>0.16806551</v>
      </c>
      <c r="AL51" s="2183">
        <v>1.078992</v>
      </c>
      <c r="AM51" s="2183">
        <v>1.1926559999999999</v>
      </c>
      <c r="AN51" s="2183">
        <v>0.75477000000000005</v>
      </c>
      <c r="AO51" s="2183">
        <v>0.84104400000000001</v>
      </c>
      <c r="AP51" s="2183">
        <v>1.07175026</v>
      </c>
      <c r="AQ51" s="2183">
        <v>0.45351900000000001</v>
      </c>
      <c r="AR51" s="2183">
        <v>0.71395799999999998</v>
      </c>
      <c r="AS51" s="2183">
        <v>1.4241680792220537</v>
      </c>
      <c r="AT51" s="2183">
        <v>2.2734855919350521</v>
      </c>
      <c r="AU51" s="2180">
        <v>0.6642430190025872</v>
      </c>
      <c r="AV51" s="2188">
        <v>0.63275046837362836</v>
      </c>
      <c r="AW51" s="2189">
        <v>1.9172326614555839</v>
      </c>
      <c r="AX51" s="2189">
        <v>1.30399678829512</v>
      </c>
      <c r="AY51" s="2189">
        <v>0.91352930680703004</v>
      </c>
      <c r="AZ51" s="2189">
        <v>1.4956285127344995</v>
      </c>
      <c r="BA51" s="2189">
        <v>1.692650251286169</v>
      </c>
      <c r="BB51" s="2190">
        <v>1.2188420019627086</v>
      </c>
      <c r="BC51" s="2191">
        <v>1.3241450598673443</v>
      </c>
      <c r="BD51" s="2189">
        <v>0.51591437677663876</v>
      </c>
      <c r="BE51" s="2189">
        <v>1.8621758980101646</v>
      </c>
      <c r="BF51" s="2396">
        <v>0.31361443707468345</v>
      </c>
      <c r="BG51" s="2457">
        <v>0.54552502368851752</v>
      </c>
      <c r="BH51" s="2371">
        <v>1.1059651994142476</v>
      </c>
      <c r="BI51" s="2371">
        <v>1.1191446291670255</v>
      </c>
      <c r="BJ51" s="2371">
        <v>1.2441770320090961</v>
      </c>
      <c r="BK51" s="2371">
        <v>0.61740688419529344</v>
      </c>
      <c r="BL51" s="2371">
        <v>0.62624767240945456</v>
      </c>
      <c r="BM51" s="2371">
        <v>0.52301588632970419</v>
      </c>
      <c r="BN51" s="2371">
        <v>0.748978076615056</v>
      </c>
      <c r="BO51" s="2372">
        <v>0.28613020555258944</v>
      </c>
      <c r="BP51" s="2372">
        <v>0.5003545448478377</v>
      </c>
      <c r="BQ51" s="2372">
        <v>0.28336892685531234</v>
      </c>
      <c r="BR51" s="2460">
        <v>0.42899092365189534</v>
      </c>
      <c r="BS51" s="2458">
        <v>0.30776132607752144</v>
      </c>
      <c r="BT51" s="2458">
        <v>1.34098838</v>
      </c>
      <c r="BU51" s="2458">
        <v>0.39142156</v>
      </c>
      <c r="BV51" s="2458">
        <f>+'11_FMIK_2013_cabecera '!C100</f>
        <v>1.8598546042003231E-2</v>
      </c>
      <c r="BW51" s="2458">
        <v>0.33132067851373181</v>
      </c>
      <c r="BX51" s="2458">
        <v>1.8598546042003231E-2</v>
      </c>
      <c r="BY51" s="2417"/>
      <c r="BZ51" s="1939"/>
      <c r="CA51" s="1940"/>
    </row>
    <row r="52" spans="1:79" ht="50.25" customHeight="1" thickBot="1">
      <c r="A52" s="2089" t="s">
        <v>306</v>
      </c>
      <c r="B52" s="2210" t="s">
        <v>97</v>
      </c>
      <c r="C52" s="2133" t="s">
        <v>98</v>
      </c>
      <c r="D52" s="2211" t="s">
        <v>99</v>
      </c>
      <c r="E52" s="2135" t="s">
        <v>46</v>
      </c>
      <c r="F52" s="2136" t="s">
        <v>81</v>
      </c>
      <c r="G52" s="2137" t="s">
        <v>181</v>
      </c>
      <c r="H52" s="2212" t="s">
        <v>91</v>
      </c>
      <c r="I52" s="2213">
        <v>1419</v>
      </c>
      <c r="J52" s="2214">
        <v>1415</v>
      </c>
      <c r="K52" s="2214">
        <v>1369</v>
      </c>
      <c r="L52" s="2214">
        <v>1376</v>
      </c>
      <c r="M52" s="2214">
        <v>1375</v>
      </c>
      <c r="N52" s="2214">
        <v>1377</v>
      </c>
      <c r="O52" s="2214">
        <v>1386</v>
      </c>
      <c r="P52" s="2214">
        <v>1389</v>
      </c>
      <c r="Q52" s="2215">
        <v>1391</v>
      </c>
      <c r="R52" s="2216">
        <v>51</v>
      </c>
      <c r="S52" s="2214">
        <v>106</v>
      </c>
      <c r="T52" s="2214">
        <v>161</v>
      </c>
      <c r="U52" s="2214">
        <v>206</v>
      </c>
      <c r="V52" s="2217">
        <v>259</v>
      </c>
      <c r="W52" s="2218">
        <v>314</v>
      </c>
      <c r="X52" s="2218">
        <v>383</v>
      </c>
      <c r="Y52" s="2219">
        <v>359</v>
      </c>
      <c r="Z52" s="2218">
        <v>484</v>
      </c>
      <c r="AA52" s="2220">
        <v>643</v>
      </c>
      <c r="AB52" s="2220">
        <v>636</v>
      </c>
      <c r="AC52" s="2221">
        <v>687</v>
      </c>
      <c r="AD52" s="2222">
        <v>56</v>
      </c>
      <c r="AE52" s="2223">
        <v>120</v>
      </c>
      <c r="AF52" s="2224">
        <v>144</v>
      </c>
      <c r="AG52" s="2223">
        <v>209</v>
      </c>
      <c r="AH52" s="2223">
        <v>258</v>
      </c>
      <c r="AI52" s="2225">
        <v>304</v>
      </c>
      <c r="AJ52" s="2221"/>
      <c r="AK52" s="2223">
        <v>376</v>
      </c>
      <c r="AL52" s="2223">
        <v>456</v>
      </c>
      <c r="AM52" s="2223">
        <v>498</v>
      </c>
      <c r="AN52" s="2223">
        <v>548</v>
      </c>
      <c r="AO52" s="2223">
        <v>591</v>
      </c>
      <c r="AP52" s="2223">
        <v>672</v>
      </c>
      <c r="AQ52" s="2223">
        <v>36</v>
      </c>
      <c r="AR52" s="2223">
        <v>81</v>
      </c>
      <c r="AS52" s="2226">
        <v>145</v>
      </c>
      <c r="AT52" s="2227">
        <v>227</v>
      </c>
      <c r="AU52" s="2228">
        <v>307</v>
      </c>
      <c r="AV52" s="2227">
        <v>395</v>
      </c>
      <c r="AW52" s="2229">
        <v>452</v>
      </c>
      <c r="AX52" s="2229">
        <v>544</v>
      </c>
      <c r="AY52" s="2229">
        <v>611</v>
      </c>
      <c r="AZ52" s="2229">
        <v>711</v>
      </c>
      <c r="BA52" s="2229">
        <v>852</v>
      </c>
      <c r="BB52" s="2230">
        <v>917</v>
      </c>
      <c r="BC52" s="2231">
        <v>81</v>
      </c>
      <c r="BD52" s="2229">
        <v>49</v>
      </c>
      <c r="BE52" s="2229">
        <v>40</v>
      </c>
      <c r="BF52" s="2228">
        <v>33</v>
      </c>
      <c r="BG52" s="2227">
        <v>68</v>
      </c>
      <c r="BH52" s="2229">
        <v>78</v>
      </c>
      <c r="BI52" s="2229">
        <v>49</v>
      </c>
      <c r="BJ52" s="2229">
        <v>63</v>
      </c>
      <c r="BK52" s="2229">
        <v>51</v>
      </c>
      <c r="BL52" s="2229">
        <v>43</v>
      </c>
      <c r="BM52" s="2229">
        <v>49</v>
      </c>
      <c r="BN52" s="2229">
        <v>71</v>
      </c>
      <c r="BO52" s="2229">
        <v>81</v>
      </c>
      <c r="BP52" s="2229">
        <v>66</v>
      </c>
      <c r="BQ52" s="2229">
        <v>63</v>
      </c>
      <c r="BR52" s="2230">
        <v>70</v>
      </c>
      <c r="BS52" s="2230">
        <v>53</v>
      </c>
      <c r="BT52" s="2230">
        <v>78</v>
      </c>
      <c r="BU52" s="2230">
        <v>75</v>
      </c>
      <c r="BV52" s="2230"/>
      <c r="BW52" s="2230"/>
      <c r="BX52" s="2230"/>
      <c r="BY52" s="2231"/>
      <c r="BZ52" s="1939"/>
      <c r="CA52" s="1940"/>
    </row>
    <row r="53" spans="1:79">
      <c r="A53" s="2829" t="s">
        <v>307</v>
      </c>
      <c r="B53" s="2832" t="s">
        <v>29</v>
      </c>
      <c r="C53" s="2835" t="s">
        <v>100</v>
      </c>
      <c r="D53" s="2838" t="s">
        <v>101</v>
      </c>
      <c r="E53" s="2841" t="s">
        <v>46</v>
      </c>
      <c r="F53" s="2844" t="s">
        <v>81</v>
      </c>
      <c r="G53" s="2826" t="s">
        <v>12</v>
      </c>
      <c r="H53" s="2232" t="s">
        <v>0</v>
      </c>
      <c r="I53" s="2233">
        <v>7441</v>
      </c>
      <c r="J53" s="2234">
        <v>7472</v>
      </c>
      <c r="K53" s="2234">
        <v>7563</v>
      </c>
      <c r="L53" s="2234">
        <v>7595</v>
      </c>
      <c r="M53" s="2234">
        <v>7633</v>
      </c>
      <c r="N53" s="2234">
        <v>7679</v>
      </c>
      <c r="O53" s="2234">
        <v>7712</v>
      </c>
      <c r="P53" s="2234">
        <v>7743</v>
      </c>
      <c r="Q53" s="2235">
        <v>7782</v>
      </c>
      <c r="R53" s="2236">
        <v>7804</v>
      </c>
      <c r="S53" s="2234">
        <v>7852</v>
      </c>
      <c r="T53" s="2234">
        <v>7894</v>
      </c>
      <c r="U53" s="2234">
        <v>7929</v>
      </c>
      <c r="V53" s="1996">
        <v>7966</v>
      </c>
      <c r="W53" s="1996">
        <v>8001</v>
      </c>
      <c r="X53" s="1996">
        <v>8057</v>
      </c>
      <c r="Y53" s="1996">
        <v>8115</v>
      </c>
      <c r="Z53" s="1996">
        <v>8152</v>
      </c>
      <c r="AA53" s="2237">
        <v>8197</v>
      </c>
      <c r="AB53" s="2237">
        <v>8241</v>
      </c>
      <c r="AC53" s="2238">
        <v>8256</v>
      </c>
      <c r="AD53" s="2239">
        <v>8285</v>
      </c>
      <c r="AE53" s="1996">
        <v>8334</v>
      </c>
      <c r="AF53" s="1996">
        <v>8370</v>
      </c>
      <c r="AG53" s="1996">
        <v>8371</v>
      </c>
      <c r="AH53" s="1996">
        <v>8422</v>
      </c>
      <c r="AI53" s="2238">
        <v>8453</v>
      </c>
      <c r="AJ53" s="2238"/>
      <c r="AK53" s="1996">
        <v>8368</v>
      </c>
      <c r="AL53" s="1996">
        <v>8434</v>
      </c>
      <c r="AM53" s="1996">
        <v>8469</v>
      </c>
      <c r="AN53" s="1996">
        <v>8511</v>
      </c>
      <c r="AO53" s="1996">
        <v>8541</v>
      </c>
      <c r="AP53" s="1996">
        <v>8585</v>
      </c>
      <c r="AQ53" s="1996">
        <v>8565</v>
      </c>
      <c r="AR53" s="1996">
        <v>8592</v>
      </c>
      <c r="AS53" s="1996">
        <v>8537</v>
      </c>
      <c r="AT53" s="1996">
        <v>8590</v>
      </c>
      <c r="AU53" s="1968">
        <v>8637</v>
      </c>
      <c r="AV53" s="2240">
        <v>8681</v>
      </c>
      <c r="AW53" s="1996">
        <v>8722</v>
      </c>
      <c r="AX53" s="1996">
        <v>8759</v>
      </c>
      <c r="AY53" s="1996">
        <v>8777</v>
      </c>
      <c r="AZ53" s="1996">
        <v>8807</v>
      </c>
      <c r="BA53" s="1996">
        <v>8827</v>
      </c>
      <c r="BB53" s="2241">
        <v>8825</v>
      </c>
      <c r="BC53" s="2237">
        <v>8894</v>
      </c>
      <c r="BD53" s="1996">
        <v>8936</v>
      </c>
      <c r="BE53" s="1996">
        <v>8955</v>
      </c>
      <c r="BF53" s="1968">
        <v>8993</v>
      </c>
      <c r="BG53" s="2461">
        <v>9013</v>
      </c>
      <c r="BH53" s="2373">
        <v>9074</v>
      </c>
      <c r="BI53" s="2373">
        <v>9094</v>
      </c>
      <c r="BJ53" s="2373">
        <v>9124</v>
      </c>
      <c r="BK53" s="2373">
        <v>9159</v>
      </c>
      <c r="BL53" s="2373">
        <v>9173</v>
      </c>
      <c r="BM53" s="2373">
        <v>9208</v>
      </c>
      <c r="BN53" s="2373">
        <v>9223</v>
      </c>
      <c r="BO53" s="2373">
        <v>9269</v>
      </c>
      <c r="BP53" s="2373">
        <v>9314</v>
      </c>
      <c r="BQ53" s="2373">
        <v>9357</v>
      </c>
      <c r="BR53" s="2462">
        <v>9400</v>
      </c>
      <c r="BS53" s="2462">
        <v>9439</v>
      </c>
      <c r="BT53" s="2462">
        <v>9502</v>
      </c>
      <c r="BU53" s="2462">
        <v>9554</v>
      </c>
      <c r="BV53" s="2462">
        <f>+'13_CLIENTES'!B101</f>
        <v>9629</v>
      </c>
      <c r="BW53" s="2462">
        <v>9589</v>
      </c>
      <c r="BX53" s="2462">
        <v>9629</v>
      </c>
      <c r="BY53" s="2418"/>
      <c r="BZ53" s="2001"/>
      <c r="CA53" s="1940"/>
    </row>
    <row r="54" spans="1:79">
      <c r="A54" s="2830"/>
      <c r="B54" s="2833"/>
      <c r="C54" s="2836"/>
      <c r="D54" s="2839"/>
      <c r="E54" s="2842"/>
      <c r="F54" s="2845"/>
      <c r="G54" s="2827"/>
      <c r="H54" s="2242" t="s">
        <v>1</v>
      </c>
      <c r="I54" s="1960">
        <v>1419</v>
      </c>
      <c r="J54" s="1961">
        <v>1415</v>
      </c>
      <c r="K54" s="1961">
        <v>1369</v>
      </c>
      <c r="L54" s="1961">
        <v>1376</v>
      </c>
      <c r="M54" s="1961">
        <v>1375</v>
      </c>
      <c r="N54" s="1961">
        <v>1377</v>
      </c>
      <c r="O54" s="1961">
        <v>1386</v>
      </c>
      <c r="P54" s="1961">
        <v>1389</v>
      </c>
      <c r="Q54" s="2243">
        <v>1391</v>
      </c>
      <c r="R54" s="2244">
        <v>1394</v>
      </c>
      <c r="S54" s="1961">
        <v>1405</v>
      </c>
      <c r="T54" s="1961">
        <v>1410</v>
      </c>
      <c r="U54" s="1961">
        <v>1407</v>
      </c>
      <c r="V54" s="1837">
        <v>1408</v>
      </c>
      <c r="W54" s="1837">
        <v>1420</v>
      </c>
      <c r="X54" s="1837">
        <v>1435</v>
      </c>
      <c r="Y54" s="1837">
        <v>1446</v>
      </c>
      <c r="Z54" s="1837">
        <v>1451</v>
      </c>
      <c r="AA54" s="1964">
        <v>1455</v>
      </c>
      <c r="AB54" s="1964">
        <v>1459</v>
      </c>
      <c r="AC54" s="1965">
        <v>1462</v>
      </c>
      <c r="AD54" s="1966">
        <v>1480</v>
      </c>
      <c r="AE54" s="1837">
        <v>1478</v>
      </c>
      <c r="AF54" s="1837">
        <v>1474</v>
      </c>
      <c r="AG54" s="1837">
        <v>1486</v>
      </c>
      <c r="AH54" s="1837">
        <v>1496</v>
      </c>
      <c r="AI54" s="1965">
        <v>1496</v>
      </c>
      <c r="AJ54" s="1965"/>
      <c r="AK54" s="1837">
        <v>1617</v>
      </c>
      <c r="AL54" s="1837">
        <v>1628</v>
      </c>
      <c r="AM54" s="1837">
        <v>1618</v>
      </c>
      <c r="AN54" s="1837">
        <v>1620</v>
      </c>
      <c r="AO54" s="1837">
        <v>1621</v>
      </c>
      <c r="AP54" s="1837">
        <v>1638</v>
      </c>
      <c r="AQ54" s="1837">
        <v>1664</v>
      </c>
      <c r="AR54" s="1837">
        <v>1676</v>
      </c>
      <c r="AS54" s="1837">
        <v>1759</v>
      </c>
      <c r="AT54" s="1837">
        <v>1756</v>
      </c>
      <c r="AU54" s="1967">
        <v>1766</v>
      </c>
      <c r="AV54" s="2245">
        <v>1776</v>
      </c>
      <c r="AW54" s="1837">
        <v>1783</v>
      </c>
      <c r="AX54" s="1837">
        <v>1793</v>
      </c>
      <c r="AY54" s="1837">
        <v>1790</v>
      </c>
      <c r="AZ54" s="1837">
        <v>1792</v>
      </c>
      <c r="BA54" s="1837">
        <v>1810</v>
      </c>
      <c r="BB54" s="2246">
        <v>1834</v>
      </c>
      <c r="BC54" s="1964">
        <v>1857</v>
      </c>
      <c r="BD54" s="1837">
        <v>1856</v>
      </c>
      <c r="BE54" s="1837">
        <v>1864</v>
      </c>
      <c r="BF54" s="1967">
        <v>1866</v>
      </c>
      <c r="BG54" s="2463">
        <v>1872</v>
      </c>
      <c r="BH54" s="2374">
        <v>1886</v>
      </c>
      <c r="BI54" s="2374">
        <v>1887</v>
      </c>
      <c r="BJ54" s="2374">
        <v>1891</v>
      </c>
      <c r="BK54" s="2374">
        <v>1893</v>
      </c>
      <c r="BL54" s="2374">
        <v>1893</v>
      </c>
      <c r="BM54" s="2374">
        <v>1908</v>
      </c>
      <c r="BN54" s="2374">
        <v>1904</v>
      </c>
      <c r="BO54" s="2374">
        <v>1911</v>
      </c>
      <c r="BP54" s="2374">
        <v>1930</v>
      </c>
      <c r="BQ54" s="2374">
        <v>1940</v>
      </c>
      <c r="BR54" s="238">
        <v>1951</v>
      </c>
      <c r="BS54" s="238">
        <v>1954</v>
      </c>
      <c r="BT54" s="2669">
        <v>1963</v>
      </c>
      <c r="BU54" s="2669">
        <v>1976</v>
      </c>
      <c r="BV54" s="2669">
        <f>+'13_CLIENTES'!C101</f>
        <v>1998</v>
      </c>
      <c r="BW54" s="2669">
        <v>1989</v>
      </c>
      <c r="BX54" s="2669">
        <v>1998</v>
      </c>
      <c r="BY54" s="2419"/>
      <c r="BZ54" s="2001"/>
      <c r="CA54" s="1940"/>
    </row>
    <row r="55" spans="1:79">
      <c r="A55" s="2830"/>
      <c r="B55" s="2833"/>
      <c r="C55" s="2836"/>
      <c r="D55" s="2839"/>
      <c r="E55" s="2842"/>
      <c r="F55" s="2845"/>
      <c r="G55" s="2827"/>
      <c r="H55" s="2242" t="s">
        <v>2</v>
      </c>
      <c r="I55" s="1960">
        <v>171</v>
      </c>
      <c r="J55" s="1961">
        <v>169</v>
      </c>
      <c r="K55" s="1961">
        <v>166</v>
      </c>
      <c r="L55" s="1961">
        <v>169</v>
      </c>
      <c r="M55" s="1961">
        <v>169</v>
      </c>
      <c r="N55" s="1961">
        <v>168</v>
      </c>
      <c r="O55" s="1961">
        <v>169</v>
      </c>
      <c r="P55" s="1961">
        <v>170</v>
      </c>
      <c r="Q55" s="2243">
        <v>174</v>
      </c>
      <c r="R55" s="2244">
        <v>173</v>
      </c>
      <c r="S55" s="1961">
        <v>177</v>
      </c>
      <c r="T55" s="1961">
        <v>177</v>
      </c>
      <c r="U55" s="1961">
        <v>177</v>
      </c>
      <c r="V55" s="1837">
        <v>176</v>
      </c>
      <c r="W55" s="1837">
        <v>175</v>
      </c>
      <c r="X55" s="1837">
        <v>175</v>
      </c>
      <c r="Y55" s="1837">
        <v>175</v>
      </c>
      <c r="Z55" s="1837">
        <v>170</v>
      </c>
      <c r="AA55" s="1964">
        <v>170</v>
      </c>
      <c r="AB55" s="1964">
        <v>170</v>
      </c>
      <c r="AC55" s="1965">
        <v>170</v>
      </c>
      <c r="AD55" s="1966">
        <v>170</v>
      </c>
      <c r="AE55" s="1837">
        <v>170</v>
      </c>
      <c r="AF55" s="1837">
        <v>171</v>
      </c>
      <c r="AG55" s="1837">
        <v>171</v>
      </c>
      <c r="AH55" s="1837">
        <v>171</v>
      </c>
      <c r="AI55" s="1965">
        <v>172</v>
      </c>
      <c r="AJ55" s="1965"/>
      <c r="AK55" s="1837">
        <v>170</v>
      </c>
      <c r="AL55" s="1837">
        <v>171</v>
      </c>
      <c r="AM55" s="1837">
        <v>174</v>
      </c>
      <c r="AN55" s="1837">
        <v>174</v>
      </c>
      <c r="AO55" s="1837">
        <v>175</v>
      </c>
      <c r="AP55" s="1837">
        <v>176</v>
      </c>
      <c r="AQ55" s="1837">
        <v>175</v>
      </c>
      <c r="AR55" s="1837">
        <v>175</v>
      </c>
      <c r="AS55" s="1837">
        <v>175</v>
      </c>
      <c r="AT55" s="1837">
        <v>175</v>
      </c>
      <c r="AU55" s="1967">
        <v>175</v>
      </c>
      <c r="AV55" s="2245">
        <v>177</v>
      </c>
      <c r="AW55" s="1837">
        <v>175</v>
      </c>
      <c r="AX55" s="1837">
        <v>176</v>
      </c>
      <c r="AY55" s="1837">
        <v>177</v>
      </c>
      <c r="AZ55" s="1837">
        <v>176</v>
      </c>
      <c r="BA55" s="1837">
        <v>179</v>
      </c>
      <c r="BB55" s="2246">
        <v>178</v>
      </c>
      <c r="BC55" s="1964">
        <v>180</v>
      </c>
      <c r="BD55" s="1837">
        <v>180</v>
      </c>
      <c r="BE55" s="1837">
        <v>179</v>
      </c>
      <c r="BF55" s="1967">
        <v>183</v>
      </c>
      <c r="BG55" s="2463">
        <v>182</v>
      </c>
      <c r="BH55" s="2374">
        <v>182</v>
      </c>
      <c r="BI55" s="2374">
        <v>181</v>
      </c>
      <c r="BJ55" s="2374">
        <v>182</v>
      </c>
      <c r="BK55" s="2374">
        <v>182</v>
      </c>
      <c r="BL55" s="2374">
        <v>180</v>
      </c>
      <c r="BM55" s="2374">
        <v>182</v>
      </c>
      <c r="BN55" s="2374">
        <v>184</v>
      </c>
      <c r="BO55" s="2374">
        <v>184</v>
      </c>
      <c r="BP55" s="2374">
        <v>184</v>
      </c>
      <c r="BQ55" s="2374">
        <v>184</v>
      </c>
      <c r="BR55" s="238">
        <v>185</v>
      </c>
      <c r="BS55" s="238">
        <v>185</v>
      </c>
      <c r="BT55" s="2669">
        <v>185</v>
      </c>
      <c r="BU55" s="2669">
        <v>186</v>
      </c>
      <c r="BV55" s="2669">
        <f>+'13_CLIENTES'!D101</f>
        <v>185</v>
      </c>
      <c r="BW55" s="2669">
        <v>185</v>
      </c>
      <c r="BX55" s="2669">
        <v>185</v>
      </c>
      <c r="BY55" s="2419"/>
      <c r="BZ55" s="2001"/>
      <c r="CA55" s="1940"/>
    </row>
    <row r="56" spans="1:79">
      <c r="A56" s="2830"/>
      <c r="B56" s="2833"/>
      <c r="C56" s="2836"/>
      <c r="D56" s="2839"/>
      <c r="E56" s="2842"/>
      <c r="F56" s="2845"/>
      <c r="G56" s="2827"/>
      <c r="H56" s="2242" t="s">
        <v>3</v>
      </c>
      <c r="I56" s="1960">
        <v>17</v>
      </c>
      <c r="J56" s="1961">
        <v>17</v>
      </c>
      <c r="K56" s="1961">
        <v>17</v>
      </c>
      <c r="L56" s="1961">
        <v>17</v>
      </c>
      <c r="M56" s="1961">
        <v>17</v>
      </c>
      <c r="N56" s="1961">
        <v>17</v>
      </c>
      <c r="O56" s="1961">
        <v>17</v>
      </c>
      <c r="P56" s="1961">
        <v>17</v>
      </c>
      <c r="Q56" s="2243">
        <v>17</v>
      </c>
      <c r="R56" s="2244">
        <v>17</v>
      </c>
      <c r="S56" s="1961">
        <v>17</v>
      </c>
      <c r="T56" s="1961">
        <v>17</v>
      </c>
      <c r="U56" s="1961">
        <v>17</v>
      </c>
      <c r="V56" s="1837">
        <v>17</v>
      </c>
      <c r="W56" s="1837">
        <v>17</v>
      </c>
      <c r="X56" s="1837">
        <v>18</v>
      </c>
      <c r="Y56" s="1837">
        <v>18</v>
      </c>
      <c r="Z56" s="1837">
        <v>18</v>
      </c>
      <c r="AA56" s="1964">
        <v>18</v>
      </c>
      <c r="AB56" s="1964">
        <v>28</v>
      </c>
      <c r="AC56" s="1965">
        <v>28</v>
      </c>
      <c r="AD56" s="1966">
        <v>28</v>
      </c>
      <c r="AE56" s="1837">
        <v>28</v>
      </c>
      <c r="AF56" s="1837">
        <v>28</v>
      </c>
      <c r="AG56" s="1837">
        <v>28</v>
      </c>
      <c r="AH56" s="1836">
        <v>28</v>
      </c>
      <c r="AI56" s="2247">
        <v>28</v>
      </c>
      <c r="AJ56" s="1965"/>
      <c r="AK56" s="1836">
        <v>28</v>
      </c>
      <c r="AL56" s="1836">
        <v>28</v>
      </c>
      <c r="AM56" s="1836">
        <v>27</v>
      </c>
      <c r="AN56" s="1836">
        <v>27</v>
      </c>
      <c r="AO56" s="1836">
        <v>27</v>
      </c>
      <c r="AP56" s="1836">
        <v>27</v>
      </c>
      <c r="AQ56" s="1836">
        <v>27</v>
      </c>
      <c r="AR56" s="1836">
        <v>27</v>
      </c>
      <c r="AS56" s="1836">
        <v>27</v>
      </c>
      <c r="AT56" s="1836">
        <v>26</v>
      </c>
      <c r="AU56" s="2248">
        <v>26</v>
      </c>
      <c r="AV56" s="2249">
        <v>27</v>
      </c>
      <c r="AW56" s="1836">
        <v>27</v>
      </c>
      <c r="AX56" s="1836">
        <v>28</v>
      </c>
      <c r="AY56" s="1836">
        <v>28</v>
      </c>
      <c r="AZ56" s="1836">
        <v>28</v>
      </c>
      <c r="BA56" s="1836">
        <v>28</v>
      </c>
      <c r="BB56" s="2250">
        <v>28</v>
      </c>
      <c r="BC56" s="2251">
        <v>29</v>
      </c>
      <c r="BD56" s="1836">
        <v>29</v>
      </c>
      <c r="BE56" s="1836">
        <v>29</v>
      </c>
      <c r="BF56" s="2248">
        <v>29</v>
      </c>
      <c r="BG56" s="2464">
        <v>29</v>
      </c>
      <c r="BH56" s="2375">
        <v>30</v>
      </c>
      <c r="BI56" s="2375">
        <v>32</v>
      </c>
      <c r="BJ56" s="2375">
        <v>31</v>
      </c>
      <c r="BK56" s="2375">
        <v>42</v>
      </c>
      <c r="BL56" s="2375">
        <v>43</v>
      </c>
      <c r="BM56" s="2375">
        <v>42</v>
      </c>
      <c r="BN56" s="2375">
        <v>42</v>
      </c>
      <c r="BO56" s="2375">
        <v>44</v>
      </c>
      <c r="BP56" s="2375">
        <v>43</v>
      </c>
      <c r="BQ56" s="2375">
        <v>43</v>
      </c>
      <c r="BR56" s="2465">
        <v>43</v>
      </c>
      <c r="BS56" s="2465">
        <v>43</v>
      </c>
      <c r="BT56" s="2465">
        <v>43</v>
      </c>
      <c r="BU56" s="2465">
        <v>43</v>
      </c>
      <c r="BV56" s="2465">
        <f>+'13_CLIENTES'!E101</f>
        <v>43</v>
      </c>
      <c r="BW56" s="2465">
        <v>43</v>
      </c>
      <c r="BX56" s="2465">
        <v>43</v>
      </c>
      <c r="BY56" s="2420"/>
      <c r="BZ56" s="2001"/>
      <c r="CA56" s="1940"/>
    </row>
    <row r="57" spans="1:79">
      <c r="A57" s="2830"/>
      <c r="B57" s="2833"/>
      <c r="C57" s="2836"/>
      <c r="D57" s="2839"/>
      <c r="E57" s="2842"/>
      <c r="F57" s="2845"/>
      <c r="G57" s="2827"/>
      <c r="H57" s="2252" t="s">
        <v>4</v>
      </c>
      <c r="I57" s="1960">
        <v>340</v>
      </c>
      <c r="J57" s="1961">
        <v>337</v>
      </c>
      <c r="K57" s="1961">
        <v>341</v>
      </c>
      <c r="L57" s="1961">
        <v>343</v>
      </c>
      <c r="M57" s="1961">
        <v>346</v>
      </c>
      <c r="N57" s="1961">
        <v>354</v>
      </c>
      <c r="O57" s="1961">
        <v>344</v>
      </c>
      <c r="P57" s="1961">
        <v>352</v>
      </c>
      <c r="Q57" s="2243">
        <v>361</v>
      </c>
      <c r="R57" s="2244">
        <v>349</v>
      </c>
      <c r="S57" s="1961">
        <v>343</v>
      </c>
      <c r="T57" s="1961">
        <v>345</v>
      </c>
      <c r="U57" s="1961">
        <v>346</v>
      </c>
      <c r="V57" s="1837">
        <v>349</v>
      </c>
      <c r="W57" s="1837">
        <v>344</v>
      </c>
      <c r="X57" s="1837">
        <v>347</v>
      </c>
      <c r="Y57" s="1837">
        <v>352</v>
      </c>
      <c r="Z57" s="1837">
        <v>365</v>
      </c>
      <c r="AA57" s="1964">
        <v>365</v>
      </c>
      <c r="AB57" s="1964">
        <v>354</v>
      </c>
      <c r="AC57" s="1965">
        <v>352</v>
      </c>
      <c r="AD57" s="1966">
        <v>354</v>
      </c>
      <c r="AE57" s="1837">
        <v>356</v>
      </c>
      <c r="AF57" s="1837">
        <v>359</v>
      </c>
      <c r="AG57" s="1837">
        <v>355</v>
      </c>
      <c r="AH57" s="1837">
        <v>358</v>
      </c>
      <c r="AI57" s="1965">
        <v>355</v>
      </c>
      <c r="AJ57" s="1965"/>
      <c r="AK57" s="1837">
        <v>358</v>
      </c>
      <c r="AL57" s="1837">
        <v>360</v>
      </c>
      <c r="AM57" s="1837">
        <v>355</v>
      </c>
      <c r="AN57" s="1837">
        <v>358</v>
      </c>
      <c r="AO57" s="1837">
        <v>366</v>
      </c>
      <c r="AP57" s="1837">
        <v>362</v>
      </c>
      <c r="AQ57" s="1837">
        <v>361</v>
      </c>
      <c r="AR57" s="1837">
        <v>357</v>
      </c>
      <c r="AS57" s="1837">
        <v>361</v>
      </c>
      <c r="AT57" s="1837">
        <v>356</v>
      </c>
      <c r="AU57" s="1967">
        <v>367</v>
      </c>
      <c r="AV57" s="2245">
        <v>361</v>
      </c>
      <c r="AW57" s="1837">
        <v>364</v>
      </c>
      <c r="AX57" s="1837">
        <v>364</v>
      </c>
      <c r="AY57" s="1837">
        <v>361</v>
      </c>
      <c r="AZ57" s="1837">
        <v>361</v>
      </c>
      <c r="BA57" s="1837">
        <v>368</v>
      </c>
      <c r="BB57" s="2246">
        <v>369</v>
      </c>
      <c r="BC57" s="1964">
        <v>372</v>
      </c>
      <c r="BD57" s="1837">
        <v>365</v>
      </c>
      <c r="BE57" s="1837">
        <v>360</v>
      </c>
      <c r="BF57" s="1967">
        <v>364</v>
      </c>
      <c r="BG57" s="2463">
        <v>362</v>
      </c>
      <c r="BH57" s="2374">
        <v>362</v>
      </c>
      <c r="BI57" s="2374">
        <v>366</v>
      </c>
      <c r="BJ57" s="2374">
        <v>362</v>
      </c>
      <c r="BK57" s="2374">
        <v>369</v>
      </c>
      <c r="BL57" s="2374">
        <v>399</v>
      </c>
      <c r="BM57" s="2374">
        <v>400</v>
      </c>
      <c r="BN57" s="2374">
        <v>391</v>
      </c>
      <c r="BO57" s="2374">
        <v>402</v>
      </c>
      <c r="BP57" s="2374">
        <v>405</v>
      </c>
      <c r="BQ57" s="2374">
        <v>415</v>
      </c>
      <c r="BR57" s="238">
        <v>431</v>
      </c>
      <c r="BS57" s="238">
        <v>442</v>
      </c>
      <c r="BT57" s="2669">
        <v>448</v>
      </c>
      <c r="BU57" s="2669">
        <v>457</v>
      </c>
      <c r="BV57" s="2669">
        <f>+'13_CLIENTES'!F101</f>
        <v>481</v>
      </c>
      <c r="BW57" s="2669">
        <v>465</v>
      </c>
      <c r="BX57" s="2669">
        <v>481</v>
      </c>
      <c r="BY57" s="2419"/>
      <c r="BZ57" s="2001"/>
      <c r="CA57" s="1940"/>
    </row>
    <row r="58" spans="1:79">
      <c r="A58" s="2830"/>
      <c r="B58" s="2833"/>
      <c r="C58" s="2836"/>
      <c r="D58" s="2839"/>
      <c r="E58" s="2842"/>
      <c r="F58" s="2845"/>
      <c r="G58" s="2827"/>
      <c r="H58" s="2253" t="s">
        <v>214</v>
      </c>
      <c r="I58" s="2254">
        <f t="shared" ref="I58:AI58" si="24">SUM(I53:I57)</f>
        <v>9388</v>
      </c>
      <c r="J58" s="2255">
        <f t="shared" si="24"/>
        <v>9410</v>
      </c>
      <c r="K58" s="2255">
        <f t="shared" si="24"/>
        <v>9456</v>
      </c>
      <c r="L58" s="2255">
        <f t="shared" si="24"/>
        <v>9500</v>
      </c>
      <c r="M58" s="2255">
        <f t="shared" si="24"/>
        <v>9540</v>
      </c>
      <c r="N58" s="2255">
        <f t="shared" si="24"/>
        <v>9595</v>
      </c>
      <c r="O58" s="2255">
        <f t="shared" si="24"/>
        <v>9628</v>
      </c>
      <c r="P58" s="2255">
        <f t="shared" si="24"/>
        <v>9671</v>
      </c>
      <c r="Q58" s="2256">
        <f t="shared" si="24"/>
        <v>9725</v>
      </c>
      <c r="R58" s="2257">
        <f t="shared" si="24"/>
        <v>9737</v>
      </c>
      <c r="S58" s="2255">
        <f t="shared" si="24"/>
        <v>9794</v>
      </c>
      <c r="T58" s="2255">
        <f t="shared" si="24"/>
        <v>9843</v>
      </c>
      <c r="U58" s="2255">
        <f t="shared" si="24"/>
        <v>9876</v>
      </c>
      <c r="V58" s="2255">
        <f t="shared" si="24"/>
        <v>9916</v>
      </c>
      <c r="W58" s="2255">
        <f t="shared" si="24"/>
        <v>9957</v>
      </c>
      <c r="X58" s="2255">
        <f t="shared" si="24"/>
        <v>10032</v>
      </c>
      <c r="Y58" s="2255">
        <f t="shared" si="24"/>
        <v>10106</v>
      </c>
      <c r="Z58" s="2255">
        <f t="shared" si="24"/>
        <v>10156</v>
      </c>
      <c r="AA58" s="2255">
        <f t="shared" si="24"/>
        <v>10205</v>
      </c>
      <c r="AB58" s="2255">
        <f t="shared" si="24"/>
        <v>10252</v>
      </c>
      <c r="AC58" s="2256">
        <f t="shared" si="24"/>
        <v>10268</v>
      </c>
      <c r="AD58" s="2258">
        <f t="shared" si="24"/>
        <v>10317</v>
      </c>
      <c r="AE58" s="2255">
        <f t="shared" si="24"/>
        <v>10366</v>
      </c>
      <c r="AF58" s="2255">
        <f t="shared" si="24"/>
        <v>10402</v>
      </c>
      <c r="AG58" s="2255">
        <f t="shared" si="24"/>
        <v>10411</v>
      </c>
      <c r="AH58" s="2255">
        <f t="shared" si="24"/>
        <v>10475</v>
      </c>
      <c r="AI58" s="2259">
        <f t="shared" si="24"/>
        <v>10504</v>
      </c>
      <c r="AJ58" s="2259"/>
      <c r="AK58" s="2256">
        <f t="shared" ref="AK58:AX58" si="25">SUM(AK53:AK57)</f>
        <v>10541</v>
      </c>
      <c r="AL58" s="2256">
        <f t="shared" si="25"/>
        <v>10621</v>
      </c>
      <c r="AM58" s="2256">
        <f t="shared" si="25"/>
        <v>10643</v>
      </c>
      <c r="AN58" s="2256">
        <f t="shared" si="25"/>
        <v>10690</v>
      </c>
      <c r="AO58" s="2256">
        <f t="shared" si="25"/>
        <v>10730</v>
      </c>
      <c r="AP58" s="2256">
        <f t="shared" si="25"/>
        <v>10788</v>
      </c>
      <c r="AQ58" s="2256">
        <f t="shared" si="25"/>
        <v>10792</v>
      </c>
      <c r="AR58" s="2256">
        <f t="shared" si="25"/>
        <v>10827</v>
      </c>
      <c r="AS58" s="2256">
        <f t="shared" si="25"/>
        <v>10859</v>
      </c>
      <c r="AT58" s="2256">
        <f t="shared" si="25"/>
        <v>10903</v>
      </c>
      <c r="AU58" s="2256">
        <f t="shared" si="25"/>
        <v>10971</v>
      </c>
      <c r="AV58" s="2258">
        <f t="shared" si="25"/>
        <v>11022</v>
      </c>
      <c r="AW58" s="2256">
        <f t="shared" si="25"/>
        <v>11071</v>
      </c>
      <c r="AX58" s="2256">
        <f t="shared" si="25"/>
        <v>11120</v>
      </c>
      <c r="AY58" s="2256">
        <f>SUM(AY53:AY57)</f>
        <v>11133</v>
      </c>
      <c r="AZ58" s="2256">
        <f t="shared" ref="AZ58:BR58" si="26">SUM(AZ53:AZ57)</f>
        <v>11164</v>
      </c>
      <c r="BA58" s="2256">
        <f t="shared" si="26"/>
        <v>11212</v>
      </c>
      <c r="BB58" s="2260">
        <f t="shared" si="26"/>
        <v>11234</v>
      </c>
      <c r="BC58" s="2259">
        <f t="shared" si="26"/>
        <v>11332</v>
      </c>
      <c r="BD58" s="2256">
        <f t="shared" si="26"/>
        <v>11366</v>
      </c>
      <c r="BE58" s="2256">
        <f t="shared" si="26"/>
        <v>11387</v>
      </c>
      <c r="BF58" s="2256">
        <f t="shared" si="26"/>
        <v>11435</v>
      </c>
      <c r="BG58" s="2466">
        <f t="shared" si="26"/>
        <v>11458</v>
      </c>
      <c r="BH58" s="2376">
        <f t="shared" si="26"/>
        <v>11534</v>
      </c>
      <c r="BI58" s="2376">
        <f t="shared" si="26"/>
        <v>11560</v>
      </c>
      <c r="BJ58" s="2376">
        <f t="shared" si="26"/>
        <v>11590</v>
      </c>
      <c r="BK58" s="2376">
        <f t="shared" si="26"/>
        <v>11645</v>
      </c>
      <c r="BL58" s="2376">
        <f t="shared" si="26"/>
        <v>11688</v>
      </c>
      <c r="BM58" s="2376">
        <f t="shared" si="26"/>
        <v>11740</v>
      </c>
      <c r="BN58" s="2376">
        <f t="shared" si="26"/>
        <v>11744</v>
      </c>
      <c r="BO58" s="2376">
        <f t="shared" si="26"/>
        <v>11810</v>
      </c>
      <c r="BP58" s="2376">
        <f t="shared" si="26"/>
        <v>11876</v>
      </c>
      <c r="BQ58" s="2376">
        <f t="shared" si="26"/>
        <v>11939</v>
      </c>
      <c r="BR58" s="2467">
        <f t="shared" si="26"/>
        <v>12010</v>
      </c>
      <c r="BS58" s="2467">
        <v>12063</v>
      </c>
      <c r="BT58" s="2467">
        <v>12141</v>
      </c>
      <c r="BU58" s="2467">
        <v>12216</v>
      </c>
      <c r="BV58" s="2467">
        <f>+'13_CLIENTES'!G101</f>
        <v>12336</v>
      </c>
      <c r="BW58" s="2467">
        <v>12271</v>
      </c>
      <c r="BX58" s="2467">
        <v>12336</v>
      </c>
      <c r="BY58" s="2421"/>
      <c r="BZ58" s="1939"/>
      <c r="CA58" s="1940"/>
    </row>
    <row r="59" spans="1:79" ht="13.5" thickBot="1">
      <c r="A59" s="2831"/>
      <c r="B59" s="2834"/>
      <c r="C59" s="2837"/>
      <c r="D59" s="2840"/>
      <c r="E59" s="2843"/>
      <c r="F59" s="2846"/>
      <c r="G59" s="2828"/>
      <c r="H59" s="2261" t="s">
        <v>47</v>
      </c>
      <c r="I59" s="2262">
        <v>3345</v>
      </c>
      <c r="J59" s="2263">
        <v>3664</v>
      </c>
      <c r="K59" s="2263">
        <v>3791</v>
      </c>
      <c r="L59" s="2263">
        <v>4009</v>
      </c>
      <c r="M59" s="2263">
        <v>4135</v>
      </c>
      <c r="N59" s="2263">
        <v>4202</v>
      </c>
      <c r="O59" s="2263">
        <v>4218</v>
      </c>
      <c r="P59" s="2263">
        <v>4030</v>
      </c>
      <c r="Q59" s="2264">
        <v>4022</v>
      </c>
      <c r="R59" s="2265">
        <v>3532</v>
      </c>
      <c r="S59" s="2266">
        <v>3575</v>
      </c>
      <c r="T59" s="2266">
        <v>3332</v>
      </c>
      <c r="U59" s="2266">
        <v>3417</v>
      </c>
      <c r="V59" s="1978">
        <v>3405</v>
      </c>
      <c r="W59" s="1978">
        <v>3774</v>
      </c>
      <c r="X59" s="1978">
        <v>3903</v>
      </c>
      <c r="Y59" s="1978">
        <v>4096</v>
      </c>
      <c r="Z59" s="1978">
        <v>4379</v>
      </c>
      <c r="AA59" s="1979">
        <v>4404</v>
      </c>
      <c r="AB59" s="1979">
        <v>4376</v>
      </c>
      <c r="AC59" s="1980">
        <v>3954</v>
      </c>
      <c r="AD59" s="1981">
        <v>3850</v>
      </c>
      <c r="AE59" s="2267">
        <v>4107</v>
      </c>
      <c r="AF59" s="2267">
        <v>3660</v>
      </c>
      <c r="AG59" s="2267">
        <v>3865</v>
      </c>
      <c r="AH59" s="1978">
        <v>3656</v>
      </c>
      <c r="AI59" s="1980">
        <v>3832</v>
      </c>
      <c r="AJ59" s="1980"/>
      <c r="AK59" s="1978">
        <v>3852</v>
      </c>
      <c r="AL59" s="1978">
        <v>3616</v>
      </c>
      <c r="AM59" s="1978">
        <v>3837</v>
      </c>
      <c r="AN59" s="1978">
        <v>3812</v>
      </c>
      <c r="AO59" s="1978">
        <v>3858</v>
      </c>
      <c r="AP59" s="1978">
        <v>3389</v>
      </c>
      <c r="AQ59" s="1978">
        <v>3503</v>
      </c>
      <c r="AR59" s="1978">
        <v>1747</v>
      </c>
      <c r="AS59" s="1978">
        <v>1250</v>
      </c>
      <c r="AT59" s="1978">
        <v>938</v>
      </c>
      <c r="AU59" s="1983">
        <v>1025</v>
      </c>
      <c r="AV59" s="2268">
        <v>1683</v>
      </c>
      <c r="AW59" s="1978">
        <v>2313</v>
      </c>
      <c r="AX59" s="1978">
        <v>2881</v>
      </c>
      <c r="AY59" s="1978">
        <v>3043</v>
      </c>
      <c r="AZ59" s="1978">
        <v>3092</v>
      </c>
      <c r="BA59" s="1978">
        <v>3157</v>
      </c>
      <c r="BB59" s="2269">
        <v>3172</v>
      </c>
      <c r="BC59" s="1979">
        <v>1155</v>
      </c>
      <c r="BD59" s="1978">
        <v>1746</v>
      </c>
      <c r="BE59" s="1978">
        <v>1152</v>
      </c>
      <c r="BF59" s="1983">
        <v>1355</v>
      </c>
      <c r="BG59" s="2468">
        <v>502</v>
      </c>
      <c r="BH59" s="2377">
        <v>1461</v>
      </c>
      <c r="BI59" s="2377">
        <v>2466</v>
      </c>
      <c r="BJ59" s="2377">
        <v>3154</v>
      </c>
      <c r="BK59" s="2377">
        <v>3154</v>
      </c>
      <c r="BL59" s="2377">
        <v>3494</v>
      </c>
      <c r="BM59" s="2377">
        <v>3443</v>
      </c>
      <c r="BN59" s="2377">
        <v>3407</v>
      </c>
      <c r="BO59" s="2377">
        <v>3373</v>
      </c>
      <c r="BP59" s="2377">
        <v>2290</v>
      </c>
      <c r="BQ59" s="2377">
        <v>1234</v>
      </c>
      <c r="BR59" s="2469">
        <v>2083</v>
      </c>
      <c r="BS59" s="2469">
        <v>1679</v>
      </c>
      <c r="BT59" s="2469">
        <v>1315</v>
      </c>
      <c r="BU59" s="2469">
        <v>3114</v>
      </c>
      <c r="BV59" s="2469"/>
      <c r="BW59" s="2469"/>
      <c r="BX59" s="2469"/>
      <c r="BY59" s="2422"/>
      <c r="BZ59" s="1939"/>
      <c r="CA59" s="1940"/>
    </row>
    <row r="60" spans="1:79" ht="61.5" customHeight="1" thickBot="1">
      <c r="A60" s="2089" t="s">
        <v>308</v>
      </c>
      <c r="B60" s="2210" t="s">
        <v>131</v>
      </c>
      <c r="C60" s="2133" t="s">
        <v>130</v>
      </c>
      <c r="D60" s="2211" t="s">
        <v>102</v>
      </c>
      <c r="E60" s="2135" t="s">
        <v>46</v>
      </c>
      <c r="F60" s="2136" t="s">
        <v>81</v>
      </c>
      <c r="G60" s="2137" t="s">
        <v>12</v>
      </c>
      <c r="H60" s="2270" t="s">
        <v>214</v>
      </c>
      <c r="I60" s="2271"/>
      <c r="J60" s="2272"/>
      <c r="K60" s="2272"/>
      <c r="L60" s="2272"/>
      <c r="M60" s="2272"/>
      <c r="N60" s="2272"/>
      <c r="O60" s="2272"/>
      <c r="P60" s="2272"/>
      <c r="Q60" s="2273"/>
      <c r="R60" s="2274">
        <v>129</v>
      </c>
      <c r="S60" s="2275">
        <v>129</v>
      </c>
      <c r="T60" s="2275">
        <v>133</v>
      </c>
      <c r="U60" s="2275">
        <v>129</v>
      </c>
      <c r="V60" s="2276">
        <v>134</v>
      </c>
      <c r="W60" s="2277">
        <v>138</v>
      </c>
      <c r="X60" s="2277">
        <v>141</v>
      </c>
      <c r="Y60" s="2277">
        <v>137</v>
      </c>
      <c r="Z60" s="2277">
        <v>129</v>
      </c>
      <c r="AA60" s="2277">
        <v>128</v>
      </c>
      <c r="AB60" s="2277">
        <v>131</v>
      </c>
      <c r="AC60" s="2278">
        <v>130</v>
      </c>
      <c r="AD60" s="2279">
        <v>122</v>
      </c>
      <c r="AE60" s="2277">
        <v>127</v>
      </c>
      <c r="AF60" s="2277">
        <v>130</v>
      </c>
      <c r="AG60" s="2277">
        <v>134</v>
      </c>
      <c r="AH60" s="2277">
        <v>133</v>
      </c>
      <c r="AI60" s="2280">
        <v>136</v>
      </c>
      <c r="AJ60" s="2280"/>
      <c r="AK60" s="2277">
        <v>132</v>
      </c>
      <c r="AL60" s="2277">
        <v>133</v>
      </c>
      <c r="AM60" s="2277">
        <v>134</v>
      </c>
      <c r="AN60" s="2277">
        <v>134</v>
      </c>
      <c r="AO60" s="2277">
        <v>132</v>
      </c>
      <c r="AP60" s="2277">
        <v>132</v>
      </c>
      <c r="AQ60" s="2277">
        <v>119</v>
      </c>
      <c r="AR60" s="2277">
        <v>117</v>
      </c>
      <c r="AS60" s="2277">
        <v>124</v>
      </c>
      <c r="AT60" s="2277">
        <v>123</v>
      </c>
      <c r="AU60" s="2278">
        <v>124</v>
      </c>
      <c r="AV60" s="2281">
        <v>122</v>
      </c>
      <c r="AW60" s="2277">
        <v>121</v>
      </c>
      <c r="AX60" s="2277">
        <v>124</v>
      </c>
      <c r="AY60" s="2277">
        <v>127</v>
      </c>
      <c r="AZ60" s="2277">
        <v>124</v>
      </c>
      <c r="BA60" s="2277">
        <v>124</v>
      </c>
      <c r="BB60" s="2282">
        <v>129</v>
      </c>
      <c r="BC60" s="2283">
        <v>87.844961240310084</v>
      </c>
      <c r="BD60" s="2277">
        <v>84.19259259259259</v>
      </c>
      <c r="BE60" s="2277">
        <v>81.920863309352512</v>
      </c>
      <c r="BF60" s="2278">
        <v>79.388888888888886</v>
      </c>
      <c r="BG60" s="2281">
        <v>76.899328859060404</v>
      </c>
      <c r="BH60" s="2277">
        <v>74.412903225806446</v>
      </c>
      <c r="BI60" s="2277">
        <v>73.630573248407643</v>
      </c>
      <c r="BJ60" s="2277">
        <v>74.774193548387103</v>
      </c>
      <c r="BK60" s="2277">
        <v>74.647435897435898</v>
      </c>
      <c r="BL60" s="2277">
        <v>73.509433962264154</v>
      </c>
      <c r="BM60" s="2277">
        <v>73.836477987421389</v>
      </c>
      <c r="BN60" s="2277">
        <v>73</v>
      </c>
      <c r="BO60" s="2277">
        <v>77.189542483660134</v>
      </c>
      <c r="BP60" s="2277">
        <v>74.691823899371073</v>
      </c>
      <c r="BQ60" s="2277">
        <v>72.357575757575759</v>
      </c>
      <c r="BR60" s="2282">
        <v>71</v>
      </c>
      <c r="BS60" s="2605">
        <v>69.728323699421964</v>
      </c>
      <c r="BT60" s="2605">
        <v>72.700598802395206</v>
      </c>
      <c r="BU60" s="2605">
        <v>73.149700598802397</v>
      </c>
      <c r="BV60" s="2605">
        <f>+'14_CLIENTxTRAB_electric '!K88</f>
        <v>73.47904191616766</v>
      </c>
      <c r="BW60" s="2605">
        <v>73.47904191616766</v>
      </c>
      <c r="BX60" s="2605">
        <v>73.47904191616766</v>
      </c>
      <c r="BY60" s="2283"/>
      <c r="BZ60" s="1939"/>
      <c r="CA60" s="1940"/>
    </row>
    <row r="61" spans="1:79" ht="77.25" thickBot="1">
      <c r="A61" s="2089" t="s">
        <v>309</v>
      </c>
      <c r="B61" s="2284" t="s">
        <v>150</v>
      </c>
      <c r="C61" s="2285" t="s">
        <v>151</v>
      </c>
      <c r="D61" s="2286" t="s">
        <v>152</v>
      </c>
      <c r="E61" s="2287" t="s">
        <v>30</v>
      </c>
      <c r="F61" s="2288" t="s">
        <v>68</v>
      </c>
      <c r="G61" s="2289" t="s">
        <v>269</v>
      </c>
      <c r="H61" s="2290" t="s">
        <v>91</v>
      </c>
      <c r="I61" s="2291">
        <v>0.82</v>
      </c>
      <c r="J61" s="2292">
        <v>0.77</v>
      </c>
      <c r="K61" s="2292">
        <v>0.71</v>
      </c>
      <c r="L61" s="2292">
        <v>0.61</v>
      </c>
      <c r="M61" s="2292">
        <v>0.49</v>
      </c>
      <c r="N61" s="2292">
        <v>0.42</v>
      </c>
      <c r="O61" s="2292">
        <v>0.3</v>
      </c>
      <c r="P61" s="2292">
        <v>0.24</v>
      </c>
      <c r="Q61" s="2293">
        <v>0.23</v>
      </c>
      <c r="R61" s="2294">
        <v>0.22</v>
      </c>
      <c r="S61" s="2292">
        <v>0.22</v>
      </c>
      <c r="T61" s="2292">
        <v>0.14000000000000001</v>
      </c>
      <c r="U61" s="2292">
        <v>0.08</v>
      </c>
      <c r="V61" s="2292">
        <v>0.09</v>
      </c>
      <c r="W61" s="2292">
        <v>0.13</v>
      </c>
      <c r="X61" s="2292">
        <v>0.09</v>
      </c>
      <c r="Y61" s="2292">
        <v>0.2</v>
      </c>
      <c r="Z61" s="2292">
        <v>0.04</v>
      </c>
      <c r="AA61" s="2295">
        <v>0.06</v>
      </c>
      <c r="AB61" s="2295">
        <v>7.0000000000000007E-2</v>
      </c>
      <c r="AC61" s="2296">
        <v>0.09</v>
      </c>
      <c r="AD61" s="2297">
        <v>7.76096235933256E-2</v>
      </c>
      <c r="AE61" s="2292">
        <v>5.8156440825821498E-2</v>
      </c>
      <c r="AF61" s="2292">
        <v>0.03</v>
      </c>
      <c r="AG61" s="2292">
        <v>0.11</v>
      </c>
      <c r="AH61" s="2292">
        <v>0.03</v>
      </c>
      <c r="AI61" s="2296">
        <v>0.11</v>
      </c>
      <c r="AJ61" s="2296"/>
      <c r="AK61" s="2292">
        <v>0.1</v>
      </c>
      <c r="AL61" s="2292">
        <v>7.0000000000000007E-2</v>
      </c>
      <c r="AM61" s="2292">
        <v>0.15</v>
      </c>
      <c r="AN61" s="2292">
        <v>0.16</v>
      </c>
      <c r="AO61" s="2292">
        <v>0.1</v>
      </c>
      <c r="AP61" s="2292">
        <v>8.3876980428704603E-2</v>
      </c>
      <c r="AQ61" s="2292">
        <v>0.10049697618104859</v>
      </c>
      <c r="AR61" s="2292">
        <v>9.9511490718111037E-2</v>
      </c>
      <c r="AS61" s="2292">
        <v>9.9320532927402616E-2</v>
      </c>
      <c r="AT61" s="2292">
        <v>0.10182053292740263</v>
      </c>
      <c r="AU61" s="2293">
        <v>0.11078526740415212</v>
      </c>
      <c r="AV61" s="2294">
        <v>0.10828526740415213</v>
      </c>
      <c r="AW61" s="2292">
        <v>0.10745193407081881</v>
      </c>
      <c r="AX61" s="2292">
        <v>0.10745193407081881</v>
      </c>
      <c r="AY61" s="2292">
        <v>0.1024519340708188</v>
      </c>
      <c r="AZ61" s="2292">
        <v>9.4118600737485458E-2</v>
      </c>
      <c r="BA61" s="2292">
        <v>8.9118600737485454E-2</v>
      </c>
      <c r="BB61" s="2298">
        <v>8.2962185701760061E-2</v>
      </c>
      <c r="BC61" s="2295">
        <v>6.7634661291921985E-2</v>
      </c>
      <c r="BD61" s="2292">
        <v>7.0000000000000007E-2</v>
      </c>
      <c r="BE61" s="2292">
        <v>7.0000000000000007E-2</v>
      </c>
      <c r="BF61" s="2293">
        <v>5.7298067810082842E-2</v>
      </c>
      <c r="BG61" s="2470">
        <v>4.8333333333333339E-2</v>
      </c>
      <c r="BH61" s="2378">
        <v>4.7500000000000007E-2</v>
      </c>
      <c r="BI61" s="2378">
        <v>4.250000000000001E-2</v>
      </c>
      <c r="BJ61" s="2378">
        <v>3.8333333333333337E-2</v>
      </c>
      <c r="BK61" s="2378">
        <v>3.3333333333333333E-2</v>
      </c>
      <c r="BL61" s="2378">
        <v>3.0833333333333341E-2</v>
      </c>
      <c r="BM61" s="2378">
        <v>2.9166666666666674E-2</v>
      </c>
      <c r="BN61" s="2378">
        <v>3.0833333333333341E-2</v>
      </c>
      <c r="BO61" s="2378">
        <v>0.02</v>
      </c>
      <c r="BP61" s="2378">
        <v>0.02</v>
      </c>
      <c r="BQ61" s="2378">
        <v>0.05</v>
      </c>
      <c r="BR61" s="2471">
        <v>0.01</v>
      </c>
      <c r="BS61" s="2606">
        <v>0.02</v>
      </c>
      <c r="BT61" s="2606">
        <v>7.0000000000000007E-2</v>
      </c>
      <c r="BU61" s="2606">
        <v>0.02</v>
      </c>
      <c r="BV61" s="2606">
        <f>+'15_PEF_2015-2016'!C106</f>
        <v>0.06</v>
      </c>
      <c r="BW61" s="2606">
        <v>7.0000000000000007E-2</v>
      </c>
      <c r="BX61" s="2606">
        <v>0.06</v>
      </c>
      <c r="BY61" s="2423"/>
      <c r="BZ61" s="2299"/>
      <c r="CA61" s="1940"/>
    </row>
    <row r="66" spans="31:42">
      <c r="AE66" s="2301"/>
      <c r="AF66" s="2301"/>
      <c r="AG66" s="2301"/>
      <c r="AH66" s="2301"/>
      <c r="AI66" s="2301"/>
      <c r="AK66" s="2301"/>
      <c r="AL66" s="2301"/>
      <c r="AM66" s="2301"/>
      <c r="AN66" s="2301"/>
      <c r="AO66" s="2301"/>
      <c r="AP66" s="2301"/>
    </row>
  </sheetData>
  <mergeCells count="73">
    <mergeCell ref="A2:AN2"/>
    <mergeCell ref="A4:A5"/>
    <mergeCell ref="B4:B5"/>
    <mergeCell ref="C4:C5"/>
    <mergeCell ref="D4:D5"/>
    <mergeCell ref="E4:E5"/>
    <mergeCell ref="F4:F5"/>
    <mergeCell ref="G4:G5"/>
    <mergeCell ref="H4:H5"/>
    <mergeCell ref="G6:G17"/>
    <mergeCell ref="A18:A23"/>
    <mergeCell ref="B18:B23"/>
    <mergeCell ref="C18:C23"/>
    <mergeCell ref="D18:D23"/>
    <mergeCell ref="E18:E23"/>
    <mergeCell ref="F18:F23"/>
    <mergeCell ref="G18:G23"/>
    <mergeCell ref="A6:A17"/>
    <mergeCell ref="B6:B17"/>
    <mergeCell ref="C6:C17"/>
    <mergeCell ref="D6:D17"/>
    <mergeCell ref="E6:E17"/>
    <mergeCell ref="F6:F17"/>
    <mergeCell ref="G24:G29"/>
    <mergeCell ref="A30:A35"/>
    <mergeCell ref="B30:B35"/>
    <mergeCell ref="C30:C35"/>
    <mergeCell ref="D30:D35"/>
    <mergeCell ref="E30:E35"/>
    <mergeCell ref="F30:F35"/>
    <mergeCell ref="G30:G35"/>
    <mergeCell ref="A24:A29"/>
    <mergeCell ref="B24:B29"/>
    <mergeCell ref="C24:C29"/>
    <mergeCell ref="D24:D29"/>
    <mergeCell ref="E24:E29"/>
    <mergeCell ref="F24:F29"/>
    <mergeCell ref="G36:G41"/>
    <mergeCell ref="A44:A46"/>
    <mergeCell ref="B44:B46"/>
    <mergeCell ref="C44:C46"/>
    <mergeCell ref="D44:D46"/>
    <mergeCell ref="E44:E46"/>
    <mergeCell ref="F44:F46"/>
    <mergeCell ref="G44:G46"/>
    <mergeCell ref="A36:A41"/>
    <mergeCell ref="B36:B41"/>
    <mergeCell ref="C36:C41"/>
    <mergeCell ref="D36:D41"/>
    <mergeCell ref="E36:E41"/>
    <mergeCell ref="F36:F41"/>
    <mergeCell ref="F48:F49"/>
    <mergeCell ref="A50:A51"/>
    <mergeCell ref="B50:B51"/>
    <mergeCell ref="C50:C51"/>
    <mergeCell ref="D50:D51"/>
    <mergeCell ref="E50:E51"/>
    <mergeCell ref="BY4:BY5"/>
    <mergeCell ref="BZ4:BZ5"/>
    <mergeCell ref="CA4:CA5"/>
    <mergeCell ref="G53:G59"/>
    <mergeCell ref="A53:A59"/>
    <mergeCell ref="B53:B59"/>
    <mergeCell ref="C53:C59"/>
    <mergeCell ref="D53:D59"/>
    <mergeCell ref="E53:E59"/>
    <mergeCell ref="F53:F59"/>
    <mergeCell ref="F50:F51"/>
    <mergeCell ref="A48:A49"/>
    <mergeCell ref="B48:B49"/>
    <mergeCell ref="C48:C49"/>
    <mergeCell ref="D48:D49"/>
    <mergeCell ref="E48:E49"/>
  </mergeCells>
  <dataValidations count="1">
    <dataValidation type="whole" showInputMessage="1" sqref="Y25 AZ25:BX25" xr:uid="{00000000-0002-0000-0100-000000000000}">
      <formula1>0</formula1>
      <formula2>500000</formula2>
    </dataValidation>
  </dataValidations>
  <printOptions horizontalCentered="1"/>
  <pageMargins left="0" right="0" top="0.39370078740157483" bottom="0.39370078740157483" header="0" footer="0"/>
  <pageSetup paperSize="9" scale="46" fitToHeight="0" orientation="landscape" r:id="rId1"/>
  <ignoredErrors>
    <ignoredError sqref="I58:V58 I46:V46 AK17 X46:AH46 X58:AH58 Y17:AI17 AJ14:AJ29 AN17:AX17 AT58:BR58 BY42:BY45 BY17:BY22 BB17:BN35 BB44:BN46 BY8 BY15 BO17:BP17 BY36:BY40 BO46:BR46 BY47 BY24:BY28 BY30:BY34 AJ6:AJ12" formulaRange="1"/>
    <ignoredError sqref="BY23" formula="1" formulaRange="1"/>
    <ignoredError sqref="BY29" formula="1"/>
    <ignoredError sqref="A60 A52:A53 A50 A47:A48 A42:A44 A36 A30 A24 A18 A6" numberStoredAsText="1"/>
  </ignoredErrors>
  <drawing r:id="rId2"/>
  <extLst>
    <ext xmlns:x14="http://schemas.microsoft.com/office/spreadsheetml/2009/9/main" uri="{05C60535-1F16-4fd2-B633-F4F36F0B64E0}">
      <x14:sparklineGroups xmlns:xm="http://schemas.microsoft.com/office/excel/2006/main">
        <x14:sparklineGroup manualMax="0" manualMin="0" displayEmptyCellsAs="gap" displayHidden="1" xr2:uid="{00000000-0003-0000-0100-000001000000}">
          <x14:colorSeries rgb="FF376092"/>
          <x14:colorNegative rgb="FFD00000"/>
          <x14:colorAxis rgb="FF000000"/>
          <x14:colorMarkers rgb="FFD00000"/>
          <x14:colorFirst rgb="FFD00000"/>
          <x14:colorLast rgb="FFD00000"/>
          <x14:colorHigh rgb="FFD00000"/>
          <x14:colorLow rgb="FFD00000"/>
          <x14:sparklines>
            <x14:sparkline>
              <xm:f>'RESUMEN '!X6:AI6</xm:f>
              <xm:sqref>CA6</xm:sqref>
            </x14:sparkline>
            <x14:sparkline>
              <xm:f>'RESUMEN '!X7:AI7</xm:f>
              <xm:sqref>CA7</xm:sqref>
            </x14:sparkline>
            <x14:sparkline>
              <xm:f>'RESUMEN '!X8:AI8</xm:f>
              <xm:sqref>CA8</xm:sqref>
            </x14:sparkline>
            <x14:sparkline>
              <xm:f>'RESUMEN '!X9:AI9</xm:f>
              <xm:sqref>CA9</xm:sqref>
            </x14:sparkline>
            <x14:sparkline>
              <xm:f>'RESUMEN '!X10:AI10</xm:f>
              <xm:sqref>CA10</xm:sqref>
            </x14:sparkline>
            <x14:sparkline>
              <xm:f>'RESUMEN '!X11:AI11</xm:f>
              <xm:sqref>CA11</xm:sqref>
            </x14:sparkline>
            <x14:sparkline>
              <xm:f>'RESUMEN '!X12:AI12</xm:f>
              <xm:sqref>CA12</xm:sqref>
            </x14:sparkline>
            <x14:sparkline>
              <xm:f>'RESUMEN '!X13:AI13</xm:f>
              <xm:sqref>CA13</xm:sqref>
            </x14:sparkline>
            <x14:sparkline>
              <xm:f>'RESUMEN '!X14:AI14</xm:f>
              <xm:sqref>CA14</xm:sqref>
            </x14:sparkline>
            <x14:sparkline>
              <xm:f>'RESUMEN '!X15:AI15</xm:f>
              <xm:sqref>CA15</xm:sqref>
            </x14:sparkline>
            <x14:sparkline>
              <xm:f>'RESUMEN '!X16:AI16</xm:f>
              <xm:sqref>CA16</xm:sqref>
            </x14:sparkline>
            <x14:sparkline>
              <xm:f>'RESUMEN '!X17:AI17</xm:f>
              <xm:sqref>CA17</xm:sqref>
            </x14:sparkline>
            <x14:sparkline>
              <xm:f>'RESUMEN '!X18:AI18</xm:f>
              <xm:sqref>CA18</xm:sqref>
            </x14:sparkline>
            <x14:sparkline>
              <xm:f>'RESUMEN '!X19:AI19</xm:f>
              <xm:sqref>CA19</xm:sqref>
            </x14:sparkline>
            <x14:sparkline>
              <xm:f>'RESUMEN '!X20:AI20</xm:f>
              <xm:sqref>CA20</xm:sqref>
            </x14:sparkline>
            <x14:sparkline>
              <xm:f>'RESUMEN '!X21:AI21</xm:f>
              <xm:sqref>CA21</xm:sqref>
            </x14:sparkline>
            <x14:sparkline>
              <xm:f>'RESUMEN '!X22:AI22</xm:f>
              <xm:sqref>CA22</xm:sqref>
            </x14:sparkline>
            <x14:sparkline>
              <xm:f>'RESUMEN '!X23:AI23</xm:f>
              <xm:sqref>CA23</xm:sqref>
            </x14:sparkline>
            <x14:sparkline>
              <xm:f>'RESUMEN '!X24:AI24</xm:f>
              <xm:sqref>CA24</xm:sqref>
            </x14:sparkline>
            <x14:sparkline>
              <xm:f>'RESUMEN '!X25:AI25</xm:f>
              <xm:sqref>CA25</xm:sqref>
            </x14:sparkline>
            <x14:sparkline>
              <xm:f>'RESUMEN '!X26:AI26</xm:f>
              <xm:sqref>CA26</xm:sqref>
            </x14:sparkline>
            <x14:sparkline>
              <xm:f>'RESUMEN '!X27:AI27</xm:f>
              <xm:sqref>CA27</xm:sqref>
            </x14:sparkline>
            <x14:sparkline>
              <xm:f>'RESUMEN '!X28:AI28</xm:f>
              <xm:sqref>CA28</xm:sqref>
            </x14:sparkline>
            <x14:sparkline>
              <xm:f>'RESUMEN '!X29:AI29</xm:f>
              <xm:sqref>CA29</xm:sqref>
            </x14:sparkline>
            <x14:sparkline>
              <xm:f>'RESUMEN '!X30:AI30</xm:f>
              <xm:sqref>CA30</xm:sqref>
            </x14:sparkline>
            <x14:sparkline>
              <xm:f>'RESUMEN '!X31:AI31</xm:f>
              <xm:sqref>CA31</xm:sqref>
            </x14:sparkline>
            <x14:sparkline>
              <xm:f>'RESUMEN '!X32:AI32</xm:f>
              <xm:sqref>CA32</xm:sqref>
            </x14:sparkline>
            <x14:sparkline>
              <xm:f>'RESUMEN '!X33:AI33</xm:f>
              <xm:sqref>CA33</xm:sqref>
            </x14:sparkline>
            <x14:sparkline>
              <xm:f>'RESUMEN '!X34:AI34</xm:f>
              <xm:sqref>CA34</xm:sqref>
            </x14:sparkline>
            <x14:sparkline>
              <xm:f>'RESUMEN '!X35:AI35</xm:f>
              <xm:sqref>CA35</xm:sqref>
            </x14:sparkline>
            <x14:sparkline>
              <xm:f>'RESUMEN '!X36:AI36</xm:f>
              <xm:sqref>CA36</xm:sqref>
            </x14:sparkline>
            <x14:sparkline>
              <xm:f>'RESUMEN '!X37:AI37</xm:f>
              <xm:sqref>CA37</xm:sqref>
            </x14:sparkline>
            <x14:sparkline>
              <xm:f>'RESUMEN '!X38:AI38</xm:f>
              <xm:sqref>CA38</xm:sqref>
            </x14:sparkline>
            <x14:sparkline>
              <xm:f>'RESUMEN '!X39:AI39</xm:f>
              <xm:sqref>CA39</xm:sqref>
            </x14:sparkline>
            <x14:sparkline>
              <xm:f>'RESUMEN '!X40:AI40</xm:f>
              <xm:sqref>CA40</xm:sqref>
            </x14:sparkline>
            <x14:sparkline>
              <xm:f>'RESUMEN '!X41:AI41</xm:f>
              <xm:sqref>CA41</xm:sqref>
            </x14:sparkline>
            <x14:sparkline>
              <xm:f>'RESUMEN '!X42:AI42</xm:f>
              <xm:sqref>CA42</xm:sqref>
            </x14:sparkline>
            <x14:sparkline>
              <xm:f>'RESUMEN '!X43:AI43</xm:f>
              <xm:sqref>CA43</xm:sqref>
            </x14:sparkline>
            <x14:sparkline>
              <xm:f>'RESUMEN '!X44:AI44</xm:f>
              <xm:sqref>CA44</xm:sqref>
            </x14:sparkline>
            <x14:sparkline>
              <xm:f>'RESUMEN '!X45:AI45</xm:f>
              <xm:sqref>CA45</xm:sqref>
            </x14:sparkline>
            <x14:sparkline>
              <xm:f>'RESUMEN '!X46:AI46</xm:f>
              <xm:sqref>CA46</xm:sqref>
            </x14:sparkline>
            <x14:sparkline>
              <xm:f>'RESUMEN '!X47:AI47</xm:f>
              <xm:sqref>CA47</xm:sqref>
            </x14:sparkline>
            <x14:sparkline>
              <xm:f>'RESUMEN '!X48:AI48</xm:f>
              <xm:sqref>CA48</xm:sqref>
            </x14:sparkline>
            <x14:sparkline>
              <xm:f>'RESUMEN '!X49:AI49</xm:f>
              <xm:sqref>CA49</xm:sqref>
            </x14:sparkline>
            <x14:sparkline>
              <xm:f>'RESUMEN '!X50:AI50</xm:f>
              <xm:sqref>CA50</xm:sqref>
            </x14:sparkline>
            <x14:sparkline>
              <xm:f>'RESUMEN '!X51:AI51</xm:f>
              <xm:sqref>CA51</xm:sqref>
            </x14:sparkline>
            <x14:sparkline>
              <xm:f>'RESUMEN '!X52:AI52</xm:f>
              <xm:sqref>CA52</xm:sqref>
            </x14:sparkline>
            <x14:sparkline>
              <xm:f>'RESUMEN '!X53:AI53</xm:f>
              <xm:sqref>CA53</xm:sqref>
            </x14:sparkline>
            <x14:sparkline>
              <xm:f>'RESUMEN '!X54:AI54</xm:f>
              <xm:sqref>CA54</xm:sqref>
            </x14:sparkline>
            <x14:sparkline>
              <xm:f>'RESUMEN '!X55:AI55</xm:f>
              <xm:sqref>CA55</xm:sqref>
            </x14:sparkline>
            <x14:sparkline>
              <xm:f>'RESUMEN '!X56:AI56</xm:f>
              <xm:sqref>CA56</xm:sqref>
            </x14:sparkline>
            <x14:sparkline>
              <xm:f>'RESUMEN '!X57:AI57</xm:f>
              <xm:sqref>CA57</xm:sqref>
            </x14:sparkline>
            <x14:sparkline>
              <xm:f>'RESUMEN '!X58:AI58</xm:f>
              <xm:sqref>CA58</xm:sqref>
            </x14:sparkline>
            <x14:sparkline>
              <xm:f>'RESUMEN '!X59:AI59</xm:f>
              <xm:sqref>CA59</xm:sqref>
            </x14:sparkline>
            <x14:sparkline>
              <xm:f>'RESUMEN '!X60:AI60</xm:f>
              <xm:sqref>CA60</xm:sqref>
            </x14:sparkline>
            <x14:sparkline>
              <xm:f>'RESUMEN '!X61:AI61</xm:f>
              <xm:sqref>CA61</xm:sqref>
            </x14:sparkline>
          </x14:sparklines>
        </x14:sparklineGroup>
        <x14:sparklineGroup manualMax="0" manualMin="0" displayEmptyCellsAs="gap" xr2:uid="{00000000-0003-0000-01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'RESUMEN '!AK6:BB6</xm:f>
              <xm:sqref>BZ6</xm:sqref>
            </x14:sparkline>
            <x14:sparkline>
              <xm:f>'RESUMEN '!AK7:BB7</xm:f>
              <xm:sqref>BZ7</xm:sqref>
            </x14:sparkline>
            <x14:sparkline>
              <xm:f>'RESUMEN '!AK8:BB8</xm:f>
              <xm:sqref>BZ8</xm:sqref>
            </x14:sparkline>
            <x14:sparkline>
              <xm:f>'RESUMEN '!AK9:BB9</xm:f>
              <xm:sqref>BZ9</xm:sqref>
            </x14:sparkline>
            <x14:sparkline>
              <xm:f>'RESUMEN '!AK10:BB10</xm:f>
              <xm:sqref>BZ10</xm:sqref>
            </x14:sparkline>
            <x14:sparkline>
              <xm:f>'RESUMEN '!AK11:BB11</xm:f>
              <xm:sqref>BZ11</xm:sqref>
            </x14:sparkline>
            <x14:sparkline>
              <xm:f>'RESUMEN '!AK12:BB12</xm:f>
              <xm:sqref>BZ12</xm:sqref>
            </x14:sparkline>
            <x14:sparkline>
              <xm:f>'RESUMEN '!AK13:BB13</xm:f>
              <xm:sqref>BZ13</xm:sqref>
            </x14:sparkline>
            <x14:sparkline>
              <xm:f>'RESUMEN '!AK14:BB14</xm:f>
              <xm:sqref>BZ14</xm:sqref>
            </x14:sparkline>
            <x14:sparkline>
              <xm:f>'RESUMEN '!AK15:BB15</xm:f>
              <xm:sqref>BZ15</xm:sqref>
            </x14:sparkline>
            <x14:sparkline>
              <xm:f>'RESUMEN '!AK16:BB16</xm:f>
              <xm:sqref>BZ16</xm:sqref>
            </x14:sparkline>
            <x14:sparkline>
              <xm:f>'RESUMEN '!AK17:BB17</xm:f>
              <xm:sqref>BZ17</xm:sqref>
            </x14:sparkline>
            <x14:sparkline>
              <xm:f>'RESUMEN '!AK18:BB18</xm:f>
              <xm:sqref>BZ18</xm:sqref>
            </x14:sparkline>
            <x14:sparkline>
              <xm:f>'RESUMEN '!AK19:BB19</xm:f>
              <xm:sqref>BZ19</xm:sqref>
            </x14:sparkline>
            <x14:sparkline>
              <xm:f>'RESUMEN '!AK20:BB20</xm:f>
              <xm:sqref>BZ20</xm:sqref>
            </x14:sparkline>
            <x14:sparkline>
              <xm:f>'RESUMEN '!AK21:BB21</xm:f>
              <xm:sqref>BZ21</xm:sqref>
            </x14:sparkline>
            <x14:sparkline>
              <xm:f>'RESUMEN '!AK22:BB22</xm:f>
              <xm:sqref>BZ22</xm:sqref>
            </x14:sparkline>
            <x14:sparkline>
              <xm:f>'RESUMEN '!AK23:BB23</xm:f>
              <xm:sqref>BZ23</xm:sqref>
            </x14:sparkline>
            <x14:sparkline>
              <xm:f>'RESUMEN '!AK24:BB24</xm:f>
              <xm:sqref>BZ24</xm:sqref>
            </x14:sparkline>
            <x14:sparkline>
              <xm:f>'RESUMEN '!AK25:BB25</xm:f>
              <xm:sqref>BZ25</xm:sqref>
            </x14:sparkline>
            <x14:sparkline>
              <xm:f>'RESUMEN '!AK26:BB26</xm:f>
              <xm:sqref>BZ26</xm:sqref>
            </x14:sparkline>
            <x14:sparkline>
              <xm:f>'RESUMEN '!AK27:BB27</xm:f>
              <xm:sqref>BZ27</xm:sqref>
            </x14:sparkline>
            <x14:sparkline>
              <xm:f>'RESUMEN '!AK28:BB28</xm:f>
              <xm:sqref>BZ28</xm:sqref>
            </x14:sparkline>
            <x14:sparkline>
              <xm:f>'RESUMEN '!AK29:BB29</xm:f>
              <xm:sqref>BZ29</xm:sqref>
            </x14:sparkline>
            <x14:sparkline>
              <xm:f>'RESUMEN '!AK30:BB30</xm:f>
              <xm:sqref>BZ30</xm:sqref>
            </x14:sparkline>
            <x14:sparkline>
              <xm:f>'RESUMEN '!AK31:BB31</xm:f>
              <xm:sqref>BZ31</xm:sqref>
            </x14:sparkline>
            <x14:sparkline>
              <xm:f>'RESUMEN '!AK32:BB32</xm:f>
              <xm:sqref>BZ32</xm:sqref>
            </x14:sparkline>
            <x14:sparkline>
              <xm:f>'RESUMEN '!AK33:BB33</xm:f>
              <xm:sqref>BZ33</xm:sqref>
            </x14:sparkline>
            <x14:sparkline>
              <xm:f>'RESUMEN '!AK34:BB34</xm:f>
              <xm:sqref>BZ34</xm:sqref>
            </x14:sparkline>
            <x14:sparkline>
              <xm:f>'RESUMEN '!AK35:BB35</xm:f>
              <xm:sqref>BZ35</xm:sqref>
            </x14:sparkline>
            <x14:sparkline>
              <xm:f>'RESUMEN '!AK36:BB36</xm:f>
              <xm:sqref>BZ36</xm:sqref>
            </x14:sparkline>
            <x14:sparkline>
              <xm:f>'RESUMEN '!AK37:BB37</xm:f>
              <xm:sqref>BZ37</xm:sqref>
            </x14:sparkline>
            <x14:sparkline>
              <xm:f>'RESUMEN '!AK38:BB38</xm:f>
              <xm:sqref>BZ38</xm:sqref>
            </x14:sparkline>
            <x14:sparkline>
              <xm:f>'RESUMEN '!AK39:BB39</xm:f>
              <xm:sqref>BZ39</xm:sqref>
            </x14:sparkline>
            <x14:sparkline>
              <xm:f>'RESUMEN '!AK40:BB40</xm:f>
              <xm:sqref>BZ40</xm:sqref>
            </x14:sparkline>
            <x14:sparkline>
              <xm:f>'RESUMEN '!AK41:BB41</xm:f>
              <xm:sqref>BZ41</xm:sqref>
            </x14:sparkline>
            <x14:sparkline>
              <xm:f>'RESUMEN '!AK42:BB42</xm:f>
              <xm:sqref>BZ42</xm:sqref>
            </x14:sparkline>
            <x14:sparkline>
              <xm:f>'RESUMEN '!AK43:BB43</xm:f>
              <xm:sqref>BZ43</xm:sqref>
            </x14:sparkline>
            <x14:sparkline>
              <xm:f>'RESUMEN '!AK44:BB44</xm:f>
              <xm:sqref>BZ44</xm:sqref>
            </x14:sparkline>
            <x14:sparkline>
              <xm:f>'RESUMEN '!AK45:BB45</xm:f>
              <xm:sqref>BZ45</xm:sqref>
            </x14:sparkline>
            <x14:sparkline>
              <xm:f>'RESUMEN '!AK46:BB46</xm:f>
              <xm:sqref>BZ46</xm:sqref>
            </x14:sparkline>
            <x14:sparkline>
              <xm:f>'RESUMEN '!AK47:BB47</xm:f>
              <xm:sqref>BZ47</xm:sqref>
            </x14:sparkline>
            <x14:sparkline>
              <xm:f>'RESUMEN '!AK48:BB48</xm:f>
              <xm:sqref>BZ48</xm:sqref>
            </x14:sparkline>
            <x14:sparkline>
              <xm:f>'RESUMEN '!AK49:BB49</xm:f>
              <xm:sqref>BZ49</xm:sqref>
            </x14:sparkline>
            <x14:sparkline>
              <xm:f>'RESUMEN '!AK50:BB50</xm:f>
              <xm:sqref>BZ50</xm:sqref>
            </x14:sparkline>
            <x14:sparkline>
              <xm:f>'RESUMEN '!AK51:BB51</xm:f>
              <xm:sqref>BZ51</xm:sqref>
            </x14:sparkline>
            <x14:sparkline>
              <xm:f>'RESUMEN '!AK52:BB52</xm:f>
              <xm:sqref>BZ52</xm:sqref>
            </x14:sparkline>
            <x14:sparkline>
              <xm:f>'RESUMEN '!AK53:BB53</xm:f>
              <xm:sqref>BZ53</xm:sqref>
            </x14:sparkline>
            <x14:sparkline>
              <xm:f>'RESUMEN '!AK54:BB54</xm:f>
              <xm:sqref>BZ54</xm:sqref>
            </x14:sparkline>
            <x14:sparkline>
              <xm:f>'RESUMEN '!AK55:BB55</xm:f>
              <xm:sqref>BZ55</xm:sqref>
            </x14:sparkline>
            <x14:sparkline>
              <xm:f>'RESUMEN '!AK56:BB56</xm:f>
              <xm:sqref>BZ56</xm:sqref>
            </x14:sparkline>
            <x14:sparkline>
              <xm:f>'RESUMEN '!AK57:BB57</xm:f>
              <xm:sqref>BZ57</xm:sqref>
            </x14:sparkline>
            <x14:sparkline>
              <xm:f>'RESUMEN '!AK58:BB58</xm:f>
              <xm:sqref>BZ58</xm:sqref>
            </x14:sparkline>
            <x14:sparkline>
              <xm:f>'RESUMEN '!AK59:BB59</xm:f>
              <xm:sqref>BZ59</xm:sqref>
            </x14:sparkline>
            <x14:sparkline>
              <xm:f>'RESUMEN '!AK60:BB60</xm:f>
              <xm:sqref>BZ60</xm:sqref>
            </x14:sparkline>
            <x14:sparkline>
              <xm:f>'RESUMEN '!AK61:BB61</xm:f>
              <xm:sqref>BZ61</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rgb="FFFFFF00"/>
  </sheetPr>
  <dimension ref="A1:S43"/>
  <sheetViews>
    <sheetView showGridLines="0" view="pageBreakPreview" topLeftCell="A8" zoomScale="85" zoomScaleNormal="85" zoomScaleSheetLayoutView="85" workbookViewId="0">
      <selection activeCell="J16" sqref="J16"/>
    </sheetView>
  </sheetViews>
  <sheetFormatPr baseColWidth="10" defaultColWidth="12" defaultRowHeight="15"/>
  <cols>
    <col min="1" max="1" width="10.83203125" style="1433" customWidth="1"/>
    <col min="2" max="4" width="8.33203125" style="1433" customWidth="1"/>
    <col min="5" max="6" width="9.33203125" style="1433" bestFit="1" customWidth="1"/>
    <col min="7" max="15" width="9.83203125" style="1433" customWidth="1"/>
    <col min="16" max="16384" width="12" style="1433"/>
  </cols>
  <sheetData>
    <row r="1" spans="1:15" ht="32.25" customHeight="1" thickBot="1">
      <c r="A1" s="1428" t="s">
        <v>7</v>
      </c>
      <c r="B1" s="1429"/>
      <c r="C1" s="1429"/>
      <c r="D1" s="1430"/>
      <c r="E1" s="1431"/>
      <c r="F1" s="1431"/>
      <c r="G1" s="1431"/>
      <c r="H1" s="1431"/>
      <c r="I1" s="1431"/>
      <c r="J1" s="1431"/>
      <c r="K1" s="1431"/>
      <c r="L1" s="1431"/>
      <c r="M1" s="1431"/>
      <c r="N1" s="1431"/>
      <c r="O1" s="1432"/>
    </row>
    <row r="2" spans="1:15">
      <c r="A2" s="3436" t="s">
        <v>58</v>
      </c>
      <c r="B2" s="3437"/>
      <c r="C2" s="3438"/>
      <c r="D2" s="3439" t="s">
        <v>441</v>
      </c>
      <c r="E2" s="3440"/>
      <c r="F2" s="3440"/>
      <c r="G2" s="3440"/>
      <c r="H2" s="3440"/>
      <c r="I2" s="3440"/>
      <c r="J2" s="3440"/>
      <c r="K2" s="3440"/>
      <c r="L2" s="3440"/>
      <c r="M2" s="3441"/>
      <c r="N2" s="3442" t="s">
        <v>503</v>
      </c>
      <c r="O2" s="3443"/>
    </row>
    <row r="3" spans="1:15" ht="87.75" customHeight="1">
      <c r="A3" s="3430" t="s">
        <v>59</v>
      </c>
      <c r="B3" s="3431"/>
      <c r="C3" s="3432"/>
      <c r="D3" s="3444" t="s">
        <v>432</v>
      </c>
      <c r="E3" s="3445"/>
      <c r="F3" s="3445"/>
      <c r="G3" s="3445"/>
      <c r="H3" s="3445"/>
      <c r="I3" s="3445"/>
      <c r="J3" s="3445"/>
      <c r="K3" s="3445"/>
      <c r="L3" s="3445"/>
      <c r="M3" s="3445"/>
      <c r="N3" s="3445"/>
      <c r="O3" s="3446"/>
    </row>
    <row r="4" spans="1:15">
      <c r="A4" s="3430" t="s">
        <v>8</v>
      </c>
      <c r="B4" s="3431"/>
      <c r="C4" s="3432"/>
      <c r="D4" s="3433" t="s">
        <v>518</v>
      </c>
      <c r="E4" s="3434"/>
      <c r="F4" s="3434"/>
      <c r="G4" s="3434"/>
      <c r="H4" s="3434"/>
      <c r="I4" s="3434"/>
      <c r="J4" s="3434"/>
      <c r="K4" s="3434"/>
      <c r="L4" s="3434"/>
      <c r="M4" s="3434"/>
      <c r="N4" s="3434"/>
      <c r="O4" s="3435"/>
    </row>
    <row r="5" spans="1:15" ht="40.5" customHeight="1">
      <c r="A5" s="3430" t="s">
        <v>61</v>
      </c>
      <c r="B5" s="3431"/>
      <c r="C5" s="3432"/>
      <c r="D5" s="3447" t="s">
        <v>438</v>
      </c>
      <c r="E5" s="3448"/>
      <c r="F5" s="3448"/>
      <c r="G5" s="3448"/>
      <c r="H5" s="3448"/>
      <c r="I5" s="3448"/>
      <c r="J5" s="3448"/>
      <c r="K5" s="3448"/>
      <c r="L5" s="3448"/>
      <c r="M5" s="3448"/>
      <c r="N5" s="3448"/>
      <c r="O5" s="3449"/>
    </row>
    <row r="6" spans="1:15" ht="26.25" customHeight="1">
      <c r="A6" s="3430" t="s">
        <v>62</v>
      </c>
      <c r="B6" s="3431"/>
      <c r="C6" s="3432"/>
      <c r="D6" s="3433"/>
      <c r="E6" s="3434"/>
      <c r="F6" s="3434"/>
      <c r="G6" s="3434"/>
      <c r="H6" s="3434"/>
      <c r="I6" s="3434"/>
      <c r="J6" s="3434"/>
      <c r="K6" s="3434"/>
      <c r="L6" s="3434"/>
      <c r="M6" s="3434"/>
      <c r="N6" s="3434"/>
      <c r="O6" s="3435"/>
    </row>
    <row r="7" spans="1:15" ht="87.75" customHeight="1">
      <c r="A7" s="3430" t="s">
        <v>63</v>
      </c>
      <c r="B7" s="3431"/>
      <c r="C7" s="3432"/>
      <c r="D7" s="3450" t="s">
        <v>433</v>
      </c>
      <c r="E7" s="3451"/>
      <c r="F7" s="3451"/>
      <c r="G7" s="3451"/>
      <c r="H7" s="3451"/>
      <c r="I7" s="3451"/>
      <c r="J7" s="3451"/>
      <c r="K7" s="3451"/>
      <c r="L7" s="3451"/>
      <c r="M7" s="3451"/>
      <c r="N7" s="3451"/>
      <c r="O7" s="3452"/>
    </row>
    <row r="8" spans="1:15">
      <c r="A8" s="3430" t="s">
        <v>65</v>
      </c>
      <c r="B8" s="3431"/>
      <c r="C8" s="3432"/>
      <c r="D8" s="3453" t="s">
        <v>222</v>
      </c>
      <c r="E8" s="3454"/>
      <c r="F8" s="3454"/>
      <c r="G8" s="3454"/>
      <c r="H8" s="3454"/>
      <c r="I8" s="3454"/>
      <c r="J8" s="3454"/>
      <c r="K8" s="3454"/>
      <c r="L8" s="3454"/>
      <c r="M8" s="3454"/>
      <c r="N8" s="3454"/>
      <c r="O8" s="3455"/>
    </row>
    <row r="9" spans="1:15" ht="29.25" customHeight="1">
      <c r="A9" s="3430" t="s">
        <v>9</v>
      </c>
      <c r="B9" s="3431"/>
      <c r="C9" s="3432"/>
      <c r="D9" s="3444" t="s">
        <v>440</v>
      </c>
      <c r="E9" s="3445"/>
      <c r="F9" s="3445"/>
      <c r="G9" s="3445"/>
      <c r="H9" s="3445"/>
      <c r="I9" s="3445"/>
      <c r="J9" s="3445"/>
      <c r="K9" s="3445"/>
      <c r="L9" s="3445"/>
      <c r="M9" s="3445"/>
      <c r="N9" s="3445"/>
      <c r="O9" s="3446"/>
    </row>
    <row r="10" spans="1:15">
      <c r="A10" s="3430" t="s">
        <v>66</v>
      </c>
      <c r="B10" s="3431"/>
      <c r="C10" s="3432"/>
      <c r="D10" s="3456" t="s">
        <v>434</v>
      </c>
      <c r="E10" s="3434"/>
      <c r="F10" s="3434"/>
      <c r="G10" s="3434"/>
      <c r="H10" s="3434"/>
      <c r="I10" s="3434"/>
      <c r="J10" s="3434"/>
      <c r="K10" s="3434"/>
      <c r="L10" s="3434"/>
      <c r="M10" s="3434"/>
      <c r="N10" s="3434"/>
      <c r="O10" s="3435"/>
    </row>
    <row r="11" spans="1:15" ht="15.75" thickBot="1">
      <c r="A11" s="3458" t="s">
        <v>67</v>
      </c>
      <c r="B11" s="3459"/>
      <c r="C11" s="3459"/>
      <c r="D11" s="3460" t="s">
        <v>442</v>
      </c>
      <c r="E11" s="3459"/>
      <c r="F11" s="3459"/>
      <c r="G11" s="3459"/>
      <c r="H11" s="3459"/>
      <c r="I11" s="3459"/>
      <c r="J11" s="3459"/>
      <c r="K11" s="3459"/>
      <c r="L11" s="3459"/>
      <c r="M11" s="3459"/>
      <c r="N11" s="3459"/>
      <c r="O11" s="3461"/>
    </row>
    <row r="12" spans="1:15" ht="8.25" customHeight="1"/>
    <row r="13" spans="1:15">
      <c r="A13" s="1434" t="s">
        <v>435</v>
      </c>
      <c r="B13" s="1435"/>
      <c r="C13" s="1435"/>
      <c r="D13" s="1435"/>
      <c r="E13" s="1435"/>
      <c r="F13" s="1435"/>
      <c r="G13" s="1435"/>
      <c r="H13" s="1435"/>
      <c r="I13" s="1435"/>
      <c r="J13" s="1435"/>
      <c r="K13" s="1435"/>
      <c r="L13" s="1435"/>
      <c r="M13" s="1435"/>
      <c r="N13" s="1435"/>
      <c r="O13" s="1435"/>
    </row>
    <row r="14" spans="1:15" ht="5.25" customHeight="1">
      <c r="A14" s="1434"/>
      <c r="B14" s="1435"/>
      <c r="C14" s="1435"/>
      <c r="D14" s="1435"/>
      <c r="E14" s="1435"/>
      <c r="F14" s="1435"/>
      <c r="G14" s="1435"/>
      <c r="H14" s="1435"/>
      <c r="I14" s="1435"/>
      <c r="J14" s="1435"/>
      <c r="K14" s="1435"/>
      <c r="L14" s="1435"/>
      <c r="M14" s="1435"/>
      <c r="N14" s="1435"/>
      <c r="O14" s="1435"/>
    </row>
    <row r="15" spans="1:15">
      <c r="A15" s="3472" t="s">
        <v>436</v>
      </c>
      <c r="B15" s="3473"/>
      <c r="C15" s="3473"/>
      <c r="D15" s="3473"/>
      <c r="E15" s="3473"/>
      <c r="F15" s="3473"/>
      <c r="G15" s="3473"/>
      <c r="H15" s="3473"/>
      <c r="I15" s="3473"/>
      <c r="J15" s="3473"/>
      <c r="K15" s="1435"/>
      <c r="L15" s="1435"/>
      <c r="M15" s="1435"/>
      <c r="N15" s="1435"/>
      <c r="O15" s="1435"/>
    </row>
    <row r="16" spans="1:15">
      <c r="A16" s="3462" t="s">
        <v>137</v>
      </c>
      <c r="B16" s="3463"/>
      <c r="C16" s="3464"/>
      <c r="D16" s="1436">
        <v>2012</v>
      </c>
      <c r="E16" s="1436">
        <v>2013</v>
      </c>
      <c r="F16" s="1436">
        <v>2014</v>
      </c>
      <c r="G16" s="1436">
        <v>2015</v>
      </c>
      <c r="H16" s="1436">
        <v>2016</v>
      </c>
      <c r="I16" s="1436">
        <v>2017</v>
      </c>
      <c r="J16" s="1436">
        <v>2018</v>
      </c>
      <c r="K16" s="1435"/>
      <c r="L16" s="1435"/>
      <c r="M16" s="1435"/>
      <c r="N16" s="1435"/>
      <c r="O16" s="1435"/>
    </row>
    <row r="17" spans="1:19">
      <c r="A17" s="3465" t="s">
        <v>437</v>
      </c>
      <c r="B17" s="3465"/>
      <c r="C17" s="3465"/>
      <c r="D17" s="1437">
        <v>0.31</v>
      </c>
      <c r="E17" s="1438">
        <v>0.54510000000000003</v>
      </c>
      <c r="F17" s="1438">
        <v>0.65820000000000001</v>
      </c>
      <c r="G17" s="1438">
        <v>0.64329999999999998</v>
      </c>
      <c r="H17" s="1439">
        <v>0.71030000000000004</v>
      </c>
      <c r="I17" s="1439">
        <v>0.74970000000000003</v>
      </c>
      <c r="J17" s="1438">
        <v>0.80310000000000004</v>
      </c>
      <c r="K17" s="1435"/>
      <c r="L17" s="1435"/>
      <c r="M17" s="1435"/>
      <c r="N17" s="1435"/>
      <c r="O17" s="1435"/>
    </row>
    <row r="18" spans="1:19">
      <c r="A18" s="1440"/>
      <c r="B18" s="1435"/>
      <c r="C18" s="1435"/>
      <c r="D18" s="1435"/>
      <c r="E18" s="1435"/>
      <c r="F18" s="1435"/>
      <c r="G18" s="1435"/>
      <c r="H18" s="1435"/>
      <c r="I18" s="1435"/>
      <c r="J18" s="1435"/>
      <c r="K18" s="1435"/>
      <c r="L18" s="1435"/>
      <c r="M18" s="1435"/>
      <c r="N18" s="1435"/>
      <c r="O18" s="1435"/>
    </row>
    <row r="19" spans="1:19" s="1441" customFormat="1" ht="11.25" hidden="1" customHeight="1">
      <c r="A19" s="3466" t="s">
        <v>114</v>
      </c>
      <c r="B19" s="3467"/>
      <c r="C19" s="3468"/>
      <c r="D19" s="3469" t="s">
        <v>439</v>
      </c>
      <c r="E19" s="3470"/>
      <c r="F19" s="3470"/>
      <c r="G19" s="3470"/>
      <c r="H19" s="3470"/>
      <c r="I19" s="3470"/>
      <c r="J19" s="3470"/>
      <c r="K19" s="3470"/>
      <c r="L19" s="3470"/>
      <c r="M19" s="3470"/>
      <c r="N19" s="3470"/>
      <c r="O19" s="3471"/>
    </row>
    <row r="20" spans="1:19" s="1441" customFormat="1" ht="6.75" hidden="1" customHeight="1">
      <c r="A20" s="1442"/>
      <c r="B20" s="1443"/>
      <c r="C20" s="1443"/>
      <c r="D20" s="1399"/>
      <c r="E20" s="1443"/>
      <c r="F20" s="1443"/>
      <c r="G20" s="1443"/>
      <c r="H20" s="1443"/>
      <c r="I20" s="1443"/>
      <c r="J20" s="1443"/>
      <c r="K20" s="1443"/>
      <c r="L20" s="1443"/>
      <c r="M20" s="1443"/>
      <c r="N20" s="1443"/>
      <c r="O20" s="1444"/>
    </row>
    <row r="21" spans="1:19" s="1441" customFormat="1" ht="11.25" hidden="1" customHeight="1">
      <c r="A21" s="3457" t="s">
        <v>388</v>
      </c>
      <c r="B21" s="3457"/>
      <c r="C21" s="3457"/>
      <c r="D21" s="1445" t="s">
        <v>32</v>
      </c>
      <c r="E21" s="1445" t="s">
        <v>33</v>
      </c>
      <c r="F21" s="1445" t="s">
        <v>34</v>
      </c>
      <c r="G21" s="1445" t="s">
        <v>35</v>
      </c>
      <c r="H21" s="1445" t="s">
        <v>36</v>
      </c>
      <c r="I21" s="1445" t="s">
        <v>37</v>
      </c>
      <c r="J21" s="1445" t="s">
        <v>38</v>
      </c>
      <c r="K21" s="1445" t="s">
        <v>39</v>
      </c>
      <c r="L21" s="1445" t="s">
        <v>40</v>
      </c>
      <c r="M21" s="1445" t="s">
        <v>41</v>
      </c>
      <c r="N21" s="1445" t="s">
        <v>42</v>
      </c>
      <c r="O21" s="1445" t="s">
        <v>43</v>
      </c>
    </row>
    <row r="22" spans="1:19" s="1441" customFormat="1" ht="14.25" hidden="1" customHeight="1">
      <c r="A22" s="1446"/>
      <c r="B22" s="1447"/>
      <c r="C22" s="1448"/>
      <c r="D22" s="1438">
        <v>0.65820000000000001</v>
      </c>
      <c r="E22" s="1438">
        <v>0.65820000000000001</v>
      </c>
      <c r="F22" s="1438">
        <v>0.65820000000000001</v>
      </c>
      <c r="G22" s="1438">
        <v>0.65820000000000001</v>
      </c>
      <c r="H22" s="1438">
        <v>0.65820000000000001</v>
      </c>
      <c r="I22" s="1438">
        <v>0.65820000000000001</v>
      </c>
      <c r="J22" s="1438">
        <v>0.65820000000000001</v>
      </c>
      <c r="K22" s="1438">
        <v>0.64329999999999998</v>
      </c>
      <c r="L22" s="1438">
        <v>0.64329999999999998</v>
      </c>
      <c r="M22" s="1438">
        <v>0.64329999999999998</v>
      </c>
      <c r="N22" s="1438">
        <v>0.64329999999999998</v>
      </c>
      <c r="O22" s="1438">
        <v>0.64329999999999998</v>
      </c>
    </row>
    <row r="23" spans="1:19" s="260" customFormat="1" ht="14.25" hidden="1" customHeight="1">
      <c r="I23" s="1449"/>
      <c r="J23" s="1449"/>
      <c r="K23" s="1449"/>
      <c r="L23" s="1449"/>
      <c r="M23" s="1449"/>
      <c r="N23" s="1449"/>
      <c r="O23" s="1449"/>
    </row>
    <row r="24" spans="1:19" s="260" customFormat="1" ht="14.25" customHeight="1">
      <c r="A24" s="1441"/>
      <c r="I24" s="1450"/>
      <c r="J24" s="1451"/>
      <c r="K24" s="1451"/>
      <c r="L24" s="1451"/>
      <c r="M24" s="1451"/>
      <c r="N24" s="1451"/>
      <c r="O24" s="1451"/>
    </row>
    <row r="25" spans="1:19" s="260" customFormat="1" ht="15.75" customHeight="1">
      <c r="I25" s="1452"/>
      <c r="J25" s="1453"/>
      <c r="K25" s="1453"/>
      <c r="L25" s="1453"/>
      <c r="M25" s="1453"/>
      <c r="N25" s="1453"/>
      <c r="O25" s="1454"/>
    </row>
    <row r="26" spans="1:19" s="260" customFormat="1" ht="15.75" customHeight="1">
      <c r="I26" s="1453"/>
      <c r="J26" s="1453"/>
      <c r="K26" s="1453"/>
      <c r="L26" s="1453"/>
      <c r="M26" s="1453"/>
      <c r="N26" s="1453"/>
      <c r="O26" s="1453"/>
    </row>
    <row r="27" spans="1:19" s="260" customFormat="1" ht="11.25" customHeight="1">
      <c r="A27" s="1441"/>
      <c r="B27" s="1441"/>
      <c r="C27" s="1441"/>
      <c r="D27" s="1441"/>
      <c r="E27" s="1455"/>
      <c r="F27" s="1441"/>
      <c r="G27" s="1441"/>
      <c r="H27" s="1441"/>
      <c r="I27" s="1441"/>
      <c r="J27" s="1441"/>
      <c r="K27" s="1441"/>
      <c r="L27" s="1441"/>
      <c r="M27" s="1441"/>
      <c r="N27" s="1441"/>
      <c r="O27" s="1441"/>
      <c r="S27" s="1456"/>
    </row>
    <row r="28" spans="1:19" s="260" customFormat="1" ht="11.25" customHeight="1">
      <c r="B28" s="1441"/>
      <c r="C28" s="1441"/>
      <c r="D28" s="1441"/>
      <c r="E28" s="1455"/>
      <c r="F28" s="1441"/>
      <c r="G28" s="1441"/>
      <c r="H28" s="1441"/>
      <c r="I28" s="1441"/>
      <c r="J28" s="1441"/>
      <c r="K28" s="1441"/>
      <c r="L28" s="1441"/>
      <c r="M28" s="1441"/>
      <c r="N28" s="1441"/>
      <c r="O28" s="1441"/>
      <c r="S28" s="1456"/>
    </row>
    <row r="29" spans="1:19" s="260" customFormat="1" ht="11.25" customHeight="1">
      <c r="A29" s="1441"/>
      <c r="B29" s="1441"/>
      <c r="C29" s="1441"/>
      <c r="D29" s="1441"/>
      <c r="E29" s="1455"/>
      <c r="F29" s="1441"/>
      <c r="G29" s="1441"/>
      <c r="H29" s="1441"/>
      <c r="I29" s="1441"/>
      <c r="J29" s="1441"/>
      <c r="K29" s="1441"/>
      <c r="L29" s="1441"/>
      <c r="M29" s="1441"/>
      <c r="N29" s="1441"/>
      <c r="O29" s="1441"/>
      <c r="S29" s="1456"/>
    </row>
    <row r="30" spans="1:19" s="260" customFormat="1" ht="11.25" customHeight="1">
      <c r="A30" s="1441"/>
      <c r="B30" s="1441"/>
      <c r="C30" s="1441"/>
      <c r="D30" s="1441"/>
      <c r="E30" s="1455"/>
      <c r="F30" s="1441"/>
      <c r="G30" s="1441"/>
      <c r="H30" s="1441"/>
      <c r="I30" s="1441"/>
      <c r="J30" s="1441"/>
      <c r="K30" s="1441"/>
      <c r="L30" s="1441"/>
      <c r="M30" s="1441"/>
      <c r="N30" s="1441"/>
      <c r="O30" s="1441"/>
      <c r="S30" s="1456"/>
    </row>
    <row r="31" spans="1:19" s="260" customFormat="1" ht="11.25" customHeight="1">
      <c r="A31" s="1441"/>
      <c r="B31" s="1441"/>
      <c r="C31" s="1441"/>
      <c r="D31" s="1441"/>
      <c r="E31" s="1455"/>
      <c r="F31" s="1441"/>
      <c r="G31" s="1441"/>
      <c r="H31" s="1441"/>
      <c r="I31" s="1441"/>
      <c r="J31" s="1441"/>
      <c r="K31" s="1441"/>
      <c r="L31" s="1441"/>
      <c r="M31" s="1441"/>
      <c r="N31" s="1441"/>
      <c r="O31" s="1441"/>
      <c r="S31" s="1456"/>
    </row>
    <row r="32" spans="1:19" s="260" customFormat="1" ht="11.25" customHeight="1">
      <c r="A32" s="1441"/>
      <c r="B32" s="1441"/>
      <c r="C32" s="1441"/>
      <c r="D32" s="1441"/>
      <c r="E32" s="1455"/>
      <c r="F32" s="1441"/>
      <c r="G32" s="1441"/>
      <c r="H32" s="1441"/>
      <c r="I32" s="1441"/>
      <c r="J32" s="1441"/>
      <c r="K32" s="1441"/>
      <c r="L32" s="1441"/>
      <c r="M32" s="1441"/>
      <c r="N32" s="1441"/>
      <c r="O32" s="1441"/>
      <c r="S32" s="1456"/>
    </row>
    <row r="33" spans="1:19" s="260" customFormat="1" ht="11.25" customHeight="1">
      <c r="A33" s="1441"/>
      <c r="B33" s="1441"/>
      <c r="C33" s="1441"/>
      <c r="D33" s="1441"/>
      <c r="E33" s="1455"/>
      <c r="F33" s="1441"/>
      <c r="G33" s="1441"/>
      <c r="H33" s="1441"/>
      <c r="I33" s="1441"/>
      <c r="J33" s="1441"/>
      <c r="K33" s="1441"/>
      <c r="L33" s="1441"/>
      <c r="M33" s="1441"/>
      <c r="N33" s="1441"/>
      <c r="O33" s="1441"/>
      <c r="S33" s="1456"/>
    </row>
    <row r="34" spans="1:19" s="260" customFormat="1" ht="11.25" customHeight="1">
      <c r="A34" s="1441"/>
      <c r="B34" s="1441"/>
      <c r="C34" s="1441"/>
      <c r="D34" s="1441"/>
      <c r="E34" s="1455"/>
      <c r="F34" s="1441"/>
      <c r="G34" s="1441"/>
      <c r="H34" s="1441"/>
      <c r="I34" s="1441"/>
      <c r="J34" s="1441"/>
      <c r="K34" s="1441"/>
      <c r="L34" s="1441"/>
      <c r="M34" s="1441"/>
      <c r="N34" s="1441"/>
      <c r="O34" s="1441"/>
      <c r="S34" s="1456"/>
    </row>
    <row r="35" spans="1:19" s="260" customFormat="1" ht="11.25" customHeight="1">
      <c r="A35" s="1441"/>
      <c r="B35" s="1441"/>
      <c r="C35" s="1441"/>
      <c r="D35" s="1441"/>
      <c r="E35" s="1455"/>
      <c r="F35" s="1441"/>
      <c r="G35" s="1441"/>
      <c r="H35" s="1441"/>
      <c r="I35" s="1441"/>
      <c r="J35" s="1441"/>
      <c r="K35" s="1441"/>
      <c r="L35" s="1441"/>
      <c r="M35" s="1441"/>
      <c r="N35" s="1441"/>
      <c r="O35" s="1441"/>
      <c r="S35" s="1456"/>
    </row>
    <row r="36" spans="1:19" s="260" customFormat="1" ht="11.25" customHeight="1">
      <c r="A36" s="1441"/>
      <c r="B36" s="1441"/>
      <c r="C36" s="1441"/>
      <c r="D36" s="1441"/>
      <c r="E36" s="1455"/>
      <c r="F36" s="1441"/>
      <c r="G36" s="1441"/>
      <c r="H36" s="1441"/>
      <c r="I36" s="1441"/>
      <c r="J36" s="1441"/>
      <c r="K36" s="1441"/>
      <c r="L36" s="1441"/>
      <c r="M36" s="1441"/>
      <c r="N36" s="1441"/>
      <c r="O36" s="1441"/>
      <c r="S36" s="1456"/>
    </row>
    <row r="37" spans="1:19" s="260" customFormat="1" ht="11.25" customHeight="1">
      <c r="A37" s="1441"/>
      <c r="B37" s="1441"/>
      <c r="C37" s="1441"/>
      <c r="D37" s="1441"/>
      <c r="E37" s="1455"/>
      <c r="F37" s="1441"/>
      <c r="G37" s="1441"/>
      <c r="H37" s="1441"/>
      <c r="I37" s="1441"/>
      <c r="J37" s="1441"/>
      <c r="K37" s="1441"/>
      <c r="L37" s="1441"/>
      <c r="M37" s="1441"/>
      <c r="N37" s="1441"/>
      <c r="O37" s="1441"/>
      <c r="S37" s="1456"/>
    </row>
    <row r="38" spans="1:19" s="260" customFormat="1" ht="11.25" customHeight="1">
      <c r="A38" s="1441"/>
      <c r="B38" s="1441"/>
      <c r="C38" s="1441"/>
      <c r="D38" s="1441"/>
      <c r="E38" s="1455"/>
      <c r="F38" s="1441"/>
      <c r="G38" s="1441"/>
      <c r="H38" s="1441"/>
      <c r="I38" s="1441"/>
      <c r="J38" s="1441"/>
      <c r="K38" s="1441"/>
      <c r="L38" s="1441"/>
      <c r="M38" s="1441"/>
      <c r="N38" s="1441"/>
      <c r="O38" s="1441"/>
      <c r="S38" s="1456"/>
    </row>
    <row r="39" spans="1:19" s="260" customFormat="1" ht="11.25" customHeight="1">
      <c r="A39" s="1441"/>
      <c r="B39" s="1441"/>
      <c r="C39" s="1441"/>
      <c r="D39" s="1441"/>
      <c r="E39" s="1455"/>
      <c r="F39" s="1441"/>
      <c r="G39" s="1441"/>
      <c r="H39" s="1441"/>
      <c r="I39" s="1441"/>
      <c r="J39" s="1441"/>
      <c r="K39" s="1441"/>
      <c r="L39" s="1441"/>
      <c r="M39" s="1441"/>
      <c r="N39" s="1441"/>
      <c r="O39" s="1441"/>
      <c r="S39" s="1456"/>
    </row>
    <row r="40" spans="1:19" s="260" customFormat="1" ht="11.25" customHeight="1">
      <c r="A40" s="1441"/>
      <c r="B40" s="1441"/>
      <c r="C40" s="1441"/>
      <c r="D40" s="1441"/>
      <c r="E40" s="1455"/>
      <c r="F40" s="1441"/>
      <c r="G40" s="1441"/>
      <c r="H40" s="1441"/>
      <c r="I40" s="1441"/>
      <c r="J40" s="1441"/>
      <c r="K40" s="1441"/>
      <c r="L40" s="1441"/>
      <c r="M40" s="1441"/>
      <c r="N40" s="1441"/>
      <c r="O40" s="1441"/>
      <c r="S40" s="1456"/>
    </row>
    <row r="41" spans="1:19" s="260" customFormat="1" ht="11.25" customHeight="1">
      <c r="A41" s="1441"/>
      <c r="B41" s="1441"/>
      <c r="C41" s="1441"/>
      <c r="D41" s="1441"/>
      <c r="E41" s="1455"/>
      <c r="F41" s="1441"/>
      <c r="G41" s="1441"/>
      <c r="H41" s="1441"/>
      <c r="I41" s="1441"/>
      <c r="J41" s="1441"/>
      <c r="K41" s="1441"/>
      <c r="L41" s="1441"/>
      <c r="M41" s="1441"/>
      <c r="N41" s="1441"/>
      <c r="O41" s="1441"/>
      <c r="S41" s="1456"/>
    </row>
    <row r="42" spans="1:19" s="260" customFormat="1" ht="11.25" customHeight="1">
      <c r="A42" s="1441"/>
      <c r="B42" s="1441"/>
      <c r="C42" s="1441"/>
      <c r="D42" s="1441"/>
      <c r="E42" s="1455"/>
      <c r="F42" s="1441"/>
      <c r="G42" s="1441"/>
      <c r="H42" s="1441"/>
      <c r="I42" s="1441"/>
      <c r="J42" s="1441"/>
      <c r="K42" s="1441"/>
      <c r="L42" s="1441"/>
      <c r="M42" s="1441"/>
      <c r="N42" s="1441"/>
      <c r="O42" s="1441"/>
      <c r="S42" s="1456"/>
    </row>
    <row r="43" spans="1:19" s="260" customFormat="1" ht="11.25" customHeight="1">
      <c r="A43" s="1441"/>
      <c r="B43" s="1441"/>
      <c r="C43" s="1441"/>
      <c r="D43" s="1441"/>
      <c r="E43" s="1455"/>
      <c r="F43" s="1441"/>
      <c r="G43" s="1441"/>
      <c r="H43" s="1441"/>
      <c r="I43" s="1441"/>
      <c r="J43" s="1441"/>
      <c r="K43" s="1441"/>
      <c r="L43" s="1441"/>
      <c r="M43" s="1441"/>
      <c r="N43" s="1441"/>
      <c r="O43" s="1441"/>
      <c r="S43" s="1456"/>
    </row>
  </sheetData>
  <mergeCells count="27">
    <mergeCell ref="A21:C21"/>
    <mergeCell ref="A11:C11"/>
    <mergeCell ref="D11:O11"/>
    <mergeCell ref="A16:C16"/>
    <mergeCell ref="A17:C17"/>
    <mergeCell ref="A19:C19"/>
    <mergeCell ref="D19:O19"/>
    <mergeCell ref="A15:J15"/>
    <mergeCell ref="A8:C8"/>
    <mergeCell ref="D8:O8"/>
    <mergeCell ref="A9:C9"/>
    <mergeCell ref="D9:O9"/>
    <mergeCell ref="A10:C10"/>
    <mergeCell ref="D10:O10"/>
    <mergeCell ref="A5:C5"/>
    <mergeCell ref="D5:O5"/>
    <mergeCell ref="A6:C6"/>
    <mergeCell ref="D6:O6"/>
    <mergeCell ref="A7:C7"/>
    <mergeCell ref="D7:O7"/>
    <mergeCell ref="A4:C4"/>
    <mergeCell ref="D4:O4"/>
    <mergeCell ref="A2:C2"/>
    <mergeCell ref="D2:M2"/>
    <mergeCell ref="N2:O2"/>
    <mergeCell ref="A3:C3"/>
    <mergeCell ref="D3:O3"/>
  </mergeCells>
  <pageMargins left="0.7" right="0.7" top="0.75" bottom="0.75" header="0.3" footer="0.3"/>
  <pageSetup paperSize="9" scale="75" orientation="portrait" r:id="rId1"/>
  <colBreaks count="1" manualBreakCount="1">
    <brk id="15"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tabColor theme="8" tint="-0.249977111117893"/>
  </sheetPr>
  <dimension ref="A1:W263"/>
  <sheetViews>
    <sheetView showGridLines="0" view="pageBreakPreview" topLeftCell="A10" zoomScale="70" zoomScaleNormal="70" zoomScaleSheetLayoutView="70" workbookViewId="0">
      <selection activeCell="C70" sqref="C70"/>
    </sheetView>
  </sheetViews>
  <sheetFormatPr baseColWidth="10" defaultColWidth="12" defaultRowHeight="15" customHeight="1"/>
  <cols>
    <col min="1" max="1" width="8.83203125" style="6" customWidth="1"/>
    <col min="2" max="3" width="16.5" style="6" customWidth="1"/>
    <col min="4" max="4" width="11" style="293" customWidth="1"/>
    <col min="5" max="5" width="17.83203125" style="6" customWidth="1"/>
    <col min="6" max="6" width="17" style="6" customWidth="1"/>
    <col min="7" max="7" width="12.6640625" style="6" customWidth="1"/>
    <col min="8" max="8" width="19.5" style="6" customWidth="1"/>
    <col min="9" max="9" width="10.83203125" style="6" customWidth="1"/>
    <col min="10" max="10" width="10.5" style="6" customWidth="1"/>
    <col min="11" max="11" width="10.83203125" style="6" customWidth="1"/>
    <col min="12" max="12" width="11.33203125" style="6" customWidth="1"/>
    <col min="13" max="13" width="11.5" style="8" customWidth="1"/>
    <col min="14" max="14" width="13.6640625" style="6" customWidth="1"/>
    <col min="15" max="15" width="10" style="6" customWidth="1"/>
    <col min="16" max="16" width="14.5" style="8" bestFit="1" customWidth="1"/>
    <col min="17" max="16384" width="12" style="6"/>
  </cols>
  <sheetData>
    <row r="1" spans="1:23" ht="24" customHeight="1" thickBot="1">
      <c r="A1" s="3500" t="s">
        <v>322</v>
      </c>
      <c r="B1" s="3501"/>
      <c r="C1" s="3501"/>
      <c r="D1" s="3501"/>
      <c r="E1" s="3501"/>
      <c r="F1" s="3501"/>
      <c r="G1" s="3501"/>
      <c r="H1" s="3501"/>
      <c r="I1" s="3501"/>
      <c r="J1" s="3501"/>
      <c r="K1" s="3501"/>
      <c r="L1" s="3501"/>
      <c r="M1" s="3501"/>
      <c r="N1" s="3501"/>
      <c r="O1" s="3502"/>
    </row>
    <row r="2" spans="1:23" ht="24" customHeight="1">
      <c r="A2" s="3486" t="s">
        <v>58</v>
      </c>
      <c r="B2" s="3487"/>
      <c r="C2" s="3488"/>
      <c r="D2" s="3489" t="s">
        <v>863</v>
      </c>
      <c r="E2" s="3489"/>
      <c r="F2" s="3489"/>
      <c r="G2" s="3489"/>
      <c r="H2" s="3489"/>
      <c r="I2" s="3489"/>
      <c r="J2" s="3489"/>
      <c r="K2" s="3489"/>
      <c r="L2" s="3489"/>
      <c r="M2" s="3490"/>
      <c r="N2" s="3491" t="s">
        <v>320</v>
      </c>
      <c r="O2" s="3492"/>
    </row>
    <row r="3" spans="1:23" ht="27" customHeight="1">
      <c r="A3" s="3480" t="s">
        <v>59</v>
      </c>
      <c r="B3" s="3481"/>
      <c r="C3" s="3482"/>
      <c r="D3" s="3484" t="s">
        <v>318</v>
      </c>
      <c r="E3" s="3484"/>
      <c r="F3" s="3484"/>
      <c r="G3" s="3484"/>
      <c r="H3" s="3484"/>
      <c r="I3" s="3484"/>
      <c r="J3" s="3484"/>
      <c r="K3" s="3484"/>
      <c r="L3" s="3484"/>
      <c r="M3" s="3484"/>
      <c r="N3" s="3484"/>
      <c r="O3" s="3485"/>
    </row>
    <row r="4" spans="1:23" ht="24" customHeight="1">
      <c r="A4" s="3480" t="s">
        <v>147</v>
      </c>
      <c r="B4" s="3481"/>
      <c r="C4" s="3482"/>
      <c r="D4" s="3484" t="s">
        <v>321</v>
      </c>
      <c r="E4" s="3484"/>
      <c r="F4" s="3484"/>
      <c r="G4" s="3484"/>
      <c r="H4" s="3484"/>
      <c r="I4" s="3484"/>
      <c r="J4" s="3484"/>
      <c r="K4" s="3484"/>
      <c r="L4" s="3484"/>
      <c r="M4" s="3484"/>
      <c r="N4" s="3484"/>
      <c r="O4" s="3485"/>
    </row>
    <row r="5" spans="1:23" ht="24" customHeight="1">
      <c r="A5" s="3480" t="s">
        <v>8</v>
      </c>
      <c r="B5" s="3481"/>
      <c r="C5" s="3482"/>
      <c r="D5" s="1396" t="s">
        <v>234</v>
      </c>
      <c r="E5" s="1396"/>
      <c r="F5" s="1396"/>
      <c r="G5" s="1396"/>
      <c r="H5" s="1396"/>
      <c r="I5" s="1396"/>
      <c r="J5" s="1396"/>
      <c r="K5" s="1396"/>
      <c r="L5" s="1396"/>
      <c r="M5" s="1396"/>
      <c r="N5" s="1396"/>
      <c r="O5" s="1743"/>
    </row>
    <row r="6" spans="1:23" ht="24" customHeight="1">
      <c r="A6" s="3480" t="s">
        <v>61</v>
      </c>
      <c r="B6" s="3481"/>
      <c r="C6" s="3482"/>
      <c r="D6" s="3484" t="s">
        <v>317</v>
      </c>
      <c r="E6" s="3484"/>
      <c r="F6" s="3484"/>
      <c r="G6" s="3484"/>
      <c r="H6" s="3484"/>
      <c r="I6" s="3484"/>
      <c r="J6" s="3484"/>
      <c r="K6" s="3484"/>
      <c r="L6" s="3484"/>
      <c r="M6" s="3484"/>
      <c r="N6" s="3484"/>
      <c r="O6" s="3485"/>
    </row>
    <row r="7" spans="1:23" ht="20.100000000000001" customHeight="1">
      <c r="A7" s="3480" t="s">
        <v>62</v>
      </c>
      <c r="B7" s="3481"/>
      <c r="C7" s="3482"/>
      <c r="D7" s="3484" t="s">
        <v>319</v>
      </c>
      <c r="E7" s="3484"/>
      <c r="F7" s="3484"/>
      <c r="G7" s="3484"/>
      <c r="H7" s="3484"/>
      <c r="I7" s="3484"/>
      <c r="J7" s="3484"/>
      <c r="K7" s="3484"/>
      <c r="L7" s="3484"/>
      <c r="M7" s="3484"/>
      <c r="N7" s="3484"/>
      <c r="O7" s="3485"/>
      <c r="W7" s="38"/>
    </row>
    <row r="8" spans="1:23" ht="20.100000000000001" customHeight="1">
      <c r="A8" s="3480" t="s">
        <v>65</v>
      </c>
      <c r="B8" s="3481"/>
      <c r="C8" s="3482"/>
      <c r="D8" s="3483" t="s">
        <v>351</v>
      </c>
      <c r="E8" s="3484"/>
      <c r="F8" s="3484"/>
      <c r="G8" s="3484"/>
      <c r="H8" s="3484"/>
      <c r="I8" s="3484"/>
      <c r="J8" s="3484"/>
      <c r="K8" s="3484"/>
      <c r="L8" s="3484"/>
      <c r="M8" s="3484"/>
      <c r="N8" s="3484"/>
      <c r="O8" s="3485"/>
    </row>
    <row r="9" spans="1:23" s="8" customFormat="1" ht="20.100000000000001" customHeight="1">
      <c r="A9" s="3480" t="s">
        <v>9</v>
      </c>
      <c r="B9" s="3481"/>
      <c r="C9" s="3482"/>
      <c r="D9" s="3484" t="s">
        <v>352</v>
      </c>
      <c r="E9" s="3484"/>
      <c r="F9" s="3484"/>
      <c r="G9" s="3484"/>
      <c r="H9" s="3484"/>
      <c r="I9" s="3484"/>
      <c r="J9" s="3484"/>
      <c r="K9" s="3484"/>
      <c r="L9" s="3484"/>
      <c r="M9" s="3484"/>
      <c r="N9" s="3484"/>
      <c r="O9" s="3485"/>
    </row>
    <row r="10" spans="1:23" ht="20.100000000000001" customHeight="1">
      <c r="A10" s="3480" t="s">
        <v>67</v>
      </c>
      <c r="B10" s="3481"/>
      <c r="C10" s="3482"/>
      <c r="D10" s="3484" t="s">
        <v>162</v>
      </c>
      <c r="E10" s="3484"/>
      <c r="F10" s="3484"/>
      <c r="G10" s="3484"/>
      <c r="H10" s="3484"/>
      <c r="I10" s="3484"/>
      <c r="J10" s="3484"/>
      <c r="K10" s="3484"/>
      <c r="L10" s="3484"/>
      <c r="M10" s="3484"/>
      <c r="N10" s="3484"/>
      <c r="O10" s="3485"/>
    </row>
    <row r="11" spans="1:23" ht="24" customHeight="1" thickBot="1">
      <c r="A11" s="3515" t="s">
        <v>68</v>
      </c>
      <c r="B11" s="3516"/>
      <c r="C11" s="3517"/>
      <c r="D11" s="3518"/>
      <c r="E11" s="3518"/>
      <c r="F11" s="3518"/>
      <c r="G11" s="3518"/>
      <c r="H11" s="3518"/>
      <c r="I11" s="3518"/>
      <c r="J11" s="3518"/>
      <c r="K11" s="3518"/>
      <c r="L11" s="3518"/>
      <c r="M11" s="3518"/>
      <c r="N11" s="3518"/>
      <c r="O11" s="3519"/>
    </row>
    <row r="12" spans="1:23" s="8" customFormat="1" ht="8.25" customHeight="1" thickBot="1">
      <c r="A12" s="1744"/>
      <c r="B12" s="163"/>
      <c r="C12" s="163"/>
      <c r="D12" s="288"/>
      <c r="E12" s="163"/>
      <c r="F12" s="163"/>
      <c r="G12" s="163"/>
      <c r="H12" s="113"/>
      <c r="I12" s="113"/>
      <c r="J12" s="113"/>
      <c r="K12" s="113"/>
      <c r="L12" s="113"/>
      <c r="M12" s="113"/>
      <c r="N12" s="113"/>
      <c r="O12" s="1745"/>
    </row>
    <row r="13" spans="1:23">
      <c r="A13" s="3261" t="s">
        <v>836</v>
      </c>
      <c r="B13" s="3262"/>
      <c r="C13" s="3262"/>
      <c r="D13" s="3262"/>
      <c r="E13" s="3262"/>
      <c r="F13" s="3262"/>
      <c r="G13" s="3263"/>
      <c r="H13" s="22"/>
      <c r="I13" s="22"/>
      <c r="J13" s="22"/>
      <c r="K13" s="22"/>
      <c r="L13" s="22"/>
      <c r="M13" s="22"/>
      <c r="N13" s="22"/>
      <c r="O13" s="1718"/>
    </row>
    <row r="14" spans="1:23" thickBot="1">
      <c r="A14" s="3206"/>
      <c r="B14" s="3207"/>
      <c r="C14" s="3207"/>
      <c r="D14" s="3207"/>
      <c r="E14" s="3207"/>
      <c r="F14" s="3207"/>
      <c r="G14" s="3208"/>
      <c r="H14" s="22"/>
      <c r="I14" s="22"/>
      <c r="J14" s="22"/>
      <c r="K14" s="22"/>
      <c r="L14" s="22"/>
      <c r="M14" s="22"/>
      <c r="N14" s="22"/>
      <c r="O14" s="1718"/>
      <c r="Q14" s="260"/>
    </row>
    <row r="15" spans="1:23" ht="14.25" customHeight="1" thickBot="1">
      <c r="A15" s="3209" t="s">
        <v>70</v>
      </c>
      <c r="B15" s="3494" t="s">
        <v>325</v>
      </c>
      <c r="C15" s="3495"/>
      <c r="D15" s="3496"/>
      <c r="E15" s="3497" t="s">
        <v>326</v>
      </c>
      <c r="F15" s="3498"/>
      <c r="G15" s="3499"/>
      <c r="H15" s="22"/>
      <c r="I15" s="22"/>
      <c r="J15" s="22"/>
      <c r="K15" s="22"/>
      <c r="L15" s="22"/>
      <c r="M15" s="22"/>
      <c r="N15" s="22"/>
      <c r="O15" s="1718"/>
      <c r="Q15" s="261"/>
    </row>
    <row r="16" spans="1:23" ht="27.75" customHeight="1" thickBot="1">
      <c r="A16" s="3493"/>
      <c r="B16" s="684" t="s">
        <v>327</v>
      </c>
      <c r="C16" s="733" t="s">
        <v>328</v>
      </c>
      <c r="D16" s="684" t="s">
        <v>323</v>
      </c>
      <c r="E16" s="734" t="s">
        <v>327</v>
      </c>
      <c r="F16" s="735" t="s">
        <v>328</v>
      </c>
      <c r="G16" s="2732" t="s">
        <v>323</v>
      </c>
      <c r="H16" s="22"/>
      <c r="I16" s="22"/>
      <c r="J16" s="22"/>
      <c r="K16" s="22"/>
      <c r="L16" s="22"/>
      <c r="M16" s="22"/>
      <c r="N16" s="22"/>
      <c r="O16" s="1718"/>
      <c r="Q16" s="261"/>
    </row>
    <row r="17" spans="1:17" ht="12.75" hidden="1">
      <c r="A17" s="279">
        <v>41640</v>
      </c>
      <c r="B17" s="2582">
        <v>17149165</v>
      </c>
      <c r="C17" s="445">
        <v>376759.53</v>
      </c>
      <c r="D17" s="2583">
        <f>SUM(C17/B17)*100</f>
        <v>2.1969555369022342</v>
      </c>
      <c r="E17" s="679">
        <v>5795616</v>
      </c>
      <c r="F17" s="449">
        <v>163404.68</v>
      </c>
      <c r="G17" s="453">
        <f t="shared" ref="G17:G28" si="0">SUM(F17/E17)*100</f>
        <v>2.819453186684556</v>
      </c>
      <c r="H17" s="8"/>
      <c r="I17" s="22"/>
      <c r="J17" s="22"/>
      <c r="K17" s="22"/>
      <c r="L17" s="22"/>
      <c r="M17" s="22"/>
      <c r="N17" s="22"/>
      <c r="O17" s="1718"/>
    </row>
    <row r="18" spans="1:17" ht="12.75" hidden="1">
      <c r="A18" s="218">
        <v>41671</v>
      </c>
      <c r="B18" s="2584">
        <v>17149165</v>
      </c>
      <c r="C18" s="446">
        <v>735083.14</v>
      </c>
      <c r="D18" s="2585">
        <f>SUM(C18/B18)*100</f>
        <v>4.286407763876551</v>
      </c>
      <c r="E18" s="680">
        <v>5795616</v>
      </c>
      <c r="F18" s="450">
        <v>236998.24</v>
      </c>
      <c r="G18" s="454">
        <f t="shared" si="0"/>
        <v>4.089267473897511</v>
      </c>
      <c r="H18" s="8"/>
      <c r="I18" s="22"/>
      <c r="J18" s="22"/>
      <c r="K18" s="22"/>
      <c r="L18" s="22"/>
      <c r="M18" s="22"/>
      <c r="N18" s="22"/>
      <c r="O18" s="1718"/>
    </row>
    <row r="19" spans="1:17" ht="12.75" hidden="1">
      <c r="A19" s="218">
        <v>41699</v>
      </c>
      <c r="B19" s="2584">
        <v>17149165</v>
      </c>
      <c r="C19" s="446">
        <v>1297084.9099999999</v>
      </c>
      <c r="D19" s="2585">
        <f t="shared" ref="D19:D28" si="1">SUM(C19/B19)*100</f>
        <v>7.5635455720438864</v>
      </c>
      <c r="E19" s="680">
        <v>5795616</v>
      </c>
      <c r="F19" s="450">
        <v>305624.48</v>
      </c>
      <c r="G19" s="454">
        <f t="shared" si="0"/>
        <v>5.2733735292331305</v>
      </c>
      <c r="H19" s="8"/>
      <c r="I19" s="22"/>
      <c r="J19" s="22"/>
      <c r="K19" s="22"/>
      <c r="L19" s="22"/>
      <c r="M19" s="22"/>
      <c r="N19" s="22"/>
      <c r="O19" s="1718"/>
    </row>
    <row r="20" spans="1:17" ht="12.75" hidden="1">
      <c r="A20" s="218">
        <v>41730</v>
      </c>
      <c r="B20" s="2584">
        <v>17149165</v>
      </c>
      <c r="C20" s="446">
        <v>1844421.79</v>
      </c>
      <c r="D20" s="2585">
        <f t="shared" si="1"/>
        <v>10.755169654032718</v>
      </c>
      <c r="E20" s="680">
        <v>5795616</v>
      </c>
      <c r="F20" s="450">
        <v>676453.53</v>
      </c>
      <c r="G20" s="454">
        <f t="shared" si="0"/>
        <v>11.671814178165013</v>
      </c>
      <c r="H20" s="8"/>
      <c r="I20" s="22"/>
      <c r="J20" s="22"/>
      <c r="K20" s="22"/>
      <c r="L20" s="22"/>
      <c r="M20" s="22"/>
      <c r="N20" s="22"/>
      <c r="O20" s="1718"/>
    </row>
    <row r="21" spans="1:17" ht="12.75" hidden="1">
      <c r="A21" s="218">
        <v>41760</v>
      </c>
      <c r="B21" s="2584">
        <v>17149165</v>
      </c>
      <c r="C21" s="446">
        <v>2609667.44</v>
      </c>
      <c r="D21" s="2585">
        <f t="shared" si="1"/>
        <v>15.217460675199055</v>
      </c>
      <c r="E21" s="680">
        <v>5795616</v>
      </c>
      <c r="F21" s="450">
        <v>776694.94</v>
      </c>
      <c r="G21" s="454">
        <f t="shared" si="0"/>
        <v>13.401421695295202</v>
      </c>
      <c r="H21" s="8"/>
      <c r="I21" s="22"/>
      <c r="J21" s="22"/>
      <c r="K21" s="22"/>
      <c r="L21" s="22"/>
      <c r="M21" s="22"/>
      <c r="N21" s="22"/>
      <c r="O21" s="1718"/>
    </row>
    <row r="22" spans="1:17" ht="12.75" hidden="1">
      <c r="A22" s="218">
        <v>41791</v>
      </c>
      <c r="B22" s="2584">
        <v>17149165</v>
      </c>
      <c r="C22" s="446">
        <v>3119256.73</v>
      </c>
      <c r="D22" s="2585">
        <f t="shared" si="1"/>
        <v>18.188971474704456</v>
      </c>
      <c r="E22" s="680">
        <v>6460626</v>
      </c>
      <c r="F22" s="450">
        <v>847991.22</v>
      </c>
      <c r="G22" s="454">
        <f t="shared" si="0"/>
        <v>13.125527154798929</v>
      </c>
      <c r="H22" s="8"/>
      <c r="I22" s="22"/>
      <c r="J22" s="22"/>
      <c r="K22" s="22"/>
      <c r="L22" s="22"/>
      <c r="M22" s="22"/>
      <c r="N22" s="22"/>
      <c r="O22" s="1718"/>
    </row>
    <row r="23" spans="1:17" ht="12.75" hidden="1">
      <c r="A23" s="218">
        <v>41821</v>
      </c>
      <c r="B23" s="2584">
        <v>13698295</v>
      </c>
      <c r="C23" s="446">
        <v>3958213.49</v>
      </c>
      <c r="D23" s="2585">
        <f t="shared" si="1"/>
        <v>28.895665409454246</v>
      </c>
      <c r="E23" s="680">
        <v>5978431</v>
      </c>
      <c r="F23" s="450">
        <v>1168110.02</v>
      </c>
      <c r="G23" s="454">
        <f t="shared" si="0"/>
        <v>19.538738843017509</v>
      </c>
      <c r="H23" s="8"/>
      <c r="I23" s="22"/>
      <c r="J23" s="22"/>
      <c r="K23" s="22"/>
      <c r="L23" s="22"/>
      <c r="M23" s="22"/>
      <c r="N23" s="22"/>
      <c r="O23" s="1718"/>
    </row>
    <row r="24" spans="1:17" ht="12.75" hidden="1">
      <c r="A24" s="218">
        <v>41852</v>
      </c>
      <c r="B24" s="2584">
        <v>13698295</v>
      </c>
      <c r="C24" s="446">
        <v>4994972.0999999996</v>
      </c>
      <c r="D24" s="2585">
        <f t="shared" si="1"/>
        <v>36.464188426369844</v>
      </c>
      <c r="E24" s="680">
        <v>6003597</v>
      </c>
      <c r="F24" s="450">
        <v>1649926.52</v>
      </c>
      <c r="G24" s="454">
        <f t="shared" si="0"/>
        <v>27.482299694666381</v>
      </c>
      <c r="H24" s="8"/>
      <c r="I24" s="22"/>
      <c r="J24" s="22"/>
      <c r="K24" s="22"/>
      <c r="L24" s="22"/>
      <c r="M24" s="22"/>
      <c r="N24" s="22"/>
      <c r="O24" s="1718"/>
    </row>
    <row r="25" spans="1:17" ht="12.75" hidden="1">
      <c r="A25" s="218">
        <v>41883</v>
      </c>
      <c r="B25" s="2584">
        <v>13698295</v>
      </c>
      <c r="C25" s="446">
        <v>5861967.1399999997</v>
      </c>
      <c r="D25" s="2585">
        <f t="shared" si="1"/>
        <v>42.793407062703785</v>
      </c>
      <c r="E25" s="680">
        <v>6042655.5300000003</v>
      </c>
      <c r="F25" s="450">
        <v>2061600.02</v>
      </c>
      <c r="G25" s="454">
        <f t="shared" si="0"/>
        <v>34.117450676524001</v>
      </c>
      <c r="H25" s="8"/>
      <c r="I25" s="22"/>
      <c r="J25" s="22"/>
      <c r="K25" s="22"/>
      <c r="L25" s="22"/>
      <c r="M25" s="22"/>
      <c r="N25" s="22"/>
      <c r="O25" s="1718"/>
    </row>
    <row r="26" spans="1:17" ht="12.75" hidden="1">
      <c r="A26" s="218">
        <v>41913</v>
      </c>
      <c r="B26" s="2584">
        <v>13698295</v>
      </c>
      <c r="C26" s="446">
        <v>8059603.4699999997</v>
      </c>
      <c r="D26" s="2585">
        <f t="shared" si="1"/>
        <v>58.836544767067721</v>
      </c>
      <c r="E26" s="680">
        <v>7931815.5300000003</v>
      </c>
      <c r="F26" s="450">
        <v>2649414.29</v>
      </c>
      <c r="G26" s="454">
        <f t="shared" si="0"/>
        <v>33.402368978190296</v>
      </c>
      <c r="H26" s="8"/>
      <c r="I26" s="22"/>
      <c r="J26" s="22"/>
      <c r="K26" s="22"/>
      <c r="L26" s="22"/>
      <c r="M26" s="22"/>
      <c r="N26" s="22"/>
      <c r="O26" s="1718"/>
      <c r="P26" s="298"/>
    </row>
    <row r="27" spans="1:17" ht="12.75" hidden="1">
      <c r="A27" s="218">
        <v>41944</v>
      </c>
      <c r="B27" s="2584">
        <v>13698295</v>
      </c>
      <c r="C27" s="446">
        <v>8550171.8599999994</v>
      </c>
      <c r="D27" s="2585">
        <f t="shared" si="1"/>
        <v>62.417781629027544</v>
      </c>
      <c r="E27" s="680">
        <v>7931815.5300000003</v>
      </c>
      <c r="F27" s="450">
        <v>3024018.5</v>
      </c>
      <c r="G27" s="454">
        <f t="shared" si="0"/>
        <v>38.125174350846251</v>
      </c>
      <c r="H27" s="8"/>
      <c r="I27" s="22"/>
      <c r="J27" s="22"/>
      <c r="K27" s="22"/>
      <c r="L27" s="22"/>
      <c r="M27" s="22"/>
      <c r="N27" s="22"/>
      <c r="O27" s="1718"/>
    </row>
    <row r="28" spans="1:17" ht="13.5" hidden="1" thickBot="1">
      <c r="A28" s="360">
        <v>41974</v>
      </c>
      <c r="B28" s="2584">
        <v>13698295</v>
      </c>
      <c r="C28" s="446">
        <v>11673381.949999999</v>
      </c>
      <c r="D28" s="2585">
        <f t="shared" si="1"/>
        <v>85.2177730878186</v>
      </c>
      <c r="E28" s="680">
        <v>7656476.5299999993</v>
      </c>
      <c r="F28" s="450">
        <v>3928829.62</v>
      </c>
      <c r="G28" s="454">
        <f t="shared" si="0"/>
        <v>51.313807396990754</v>
      </c>
      <c r="H28" s="8"/>
      <c r="I28" s="22"/>
      <c r="J28" s="22"/>
      <c r="K28" s="22"/>
      <c r="L28" s="22"/>
      <c r="M28" s="22"/>
      <c r="N28" s="22"/>
      <c r="O28" s="1718"/>
    </row>
    <row r="29" spans="1:17" ht="30" hidden="1" customHeight="1">
      <c r="A29" s="2579">
        <v>42005</v>
      </c>
      <c r="B29" s="1838">
        <v>14415499.999600001</v>
      </c>
      <c r="C29" s="447">
        <v>411118.77</v>
      </c>
      <c r="D29" s="2586">
        <f>SUM(C29/B29)*100</f>
        <v>2.8519216816024953</v>
      </c>
      <c r="E29" s="681">
        <v>5675670</v>
      </c>
      <c r="F29" s="451">
        <v>248087.69</v>
      </c>
      <c r="G29" s="455">
        <f>SUM(F29/E29)*100</f>
        <v>4.3710731948827188</v>
      </c>
      <c r="H29" s="8"/>
      <c r="I29" s="22"/>
      <c r="J29" s="22"/>
      <c r="K29" s="22"/>
      <c r="L29" s="22"/>
      <c r="M29" s="22"/>
      <c r="N29" s="22"/>
      <c r="O29" s="1718"/>
      <c r="Q29" s="553"/>
    </row>
    <row r="30" spans="1:17" ht="24.95" hidden="1" customHeight="1">
      <c r="A30" s="2580">
        <v>42036</v>
      </c>
      <c r="B30" s="1840">
        <v>14415499.999600001</v>
      </c>
      <c r="C30" s="448">
        <v>862393.68</v>
      </c>
      <c r="D30" s="2587">
        <f>SUM(C30/B30)*100</f>
        <v>5.9824056052438674</v>
      </c>
      <c r="E30" s="682">
        <v>5675670</v>
      </c>
      <c r="F30" s="452">
        <v>690810.44</v>
      </c>
      <c r="G30" s="456">
        <f>SUM(F30/E30)*100</f>
        <v>12.171434209529448</v>
      </c>
      <c r="H30" s="8"/>
      <c r="I30" s="22"/>
      <c r="J30" s="22"/>
      <c r="K30" s="22"/>
      <c r="L30" s="22"/>
      <c r="M30" s="22"/>
      <c r="N30" s="22"/>
      <c r="O30" s="1718"/>
      <c r="Q30" s="553"/>
    </row>
    <row r="31" spans="1:17" ht="24.95" hidden="1" customHeight="1">
      <c r="A31" s="2580">
        <v>42064</v>
      </c>
      <c r="B31" s="1840">
        <v>14415499.999600001</v>
      </c>
      <c r="C31" s="448">
        <v>1343553.08</v>
      </c>
      <c r="D31" s="2587">
        <f>SUM(C31/B31)*100</f>
        <v>9.3201975653794928</v>
      </c>
      <c r="E31" s="682">
        <v>5740296</v>
      </c>
      <c r="F31" s="452">
        <v>1050941.1499999999</v>
      </c>
      <c r="G31" s="456">
        <f>SUM(F31/E31)*100</f>
        <v>18.308135155399651</v>
      </c>
      <c r="H31" s="8"/>
      <c r="I31" s="22"/>
      <c r="J31" s="22"/>
      <c r="K31" s="22"/>
      <c r="L31" s="22"/>
      <c r="M31" s="22"/>
      <c r="N31" s="22"/>
      <c r="O31" s="1718"/>
      <c r="Q31" s="553"/>
    </row>
    <row r="32" spans="1:17" ht="24.95" hidden="1" customHeight="1">
      <c r="A32" s="2580">
        <v>42095</v>
      </c>
      <c r="B32" s="1840">
        <v>14415499.999600001</v>
      </c>
      <c r="C32" s="448">
        <v>2007409.13</v>
      </c>
      <c r="D32" s="2587">
        <f>SUM(C32/B32)*100</f>
        <v>13.9253520866824</v>
      </c>
      <c r="E32" s="682">
        <v>5740296</v>
      </c>
      <c r="F32" s="452">
        <v>1407880.76</v>
      </c>
      <c r="G32" s="456">
        <f>SUM(F32/E32)*100</f>
        <v>24.526274603260877</v>
      </c>
      <c r="H32" s="8"/>
      <c r="I32" s="22"/>
      <c r="J32" s="22"/>
      <c r="K32" s="22"/>
      <c r="L32" s="22"/>
      <c r="M32" s="22"/>
      <c r="N32" s="22"/>
      <c r="O32" s="1718"/>
      <c r="Q32" s="553"/>
    </row>
    <row r="33" spans="1:17" ht="24.95" hidden="1" customHeight="1">
      <c r="A33" s="2580">
        <v>42125</v>
      </c>
      <c r="B33" s="1840">
        <v>14415499.999600001</v>
      </c>
      <c r="C33" s="448">
        <v>3415492.4800000014</v>
      </c>
      <c r="D33" s="2587">
        <f>SUM(C33/B33)*100</f>
        <v>23.693194686932635</v>
      </c>
      <c r="E33" s="682">
        <v>5796296</v>
      </c>
      <c r="F33" s="452">
        <v>1917719.17</v>
      </c>
      <c r="G33" s="456">
        <f>SUM(F33/E33)*100</f>
        <v>33.085252547488949</v>
      </c>
      <c r="H33" s="8"/>
      <c r="I33" s="22"/>
      <c r="J33" s="22"/>
      <c r="K33" s="22"/>
      <c r="L33" s="22"/>
      <c r="M33" s="22"/>
      <c r="N33" s="22"/>
      <c r="O33" s="1718"/>
      <c r="Q33" s="553"/>
    </row>
    <row r="34" spans="1:17" ht="24.95" hidden="1" customHeight="1">
      <c r="A34" s="2580">
        <v>42156</v>
      </c>
      <c r="B34" s="1840">
        <v>14415499.999600001</v>
      </c>
      <c r="C34" s="448">
        <v>3959581.55</v>
      </c>
      <c r="D34" s="2587">
        <f t="shared" ref="D34:D39" si="2">SUM(C34/B34)*100</f>
        <v>27.46752835565794</v>
      </c>
      <c r="E34" s="682">
        <v>5891423.3899999997</v>
      </c>
      <c r="F34" s="452">
        <v>2025228</v>
      </c>
      <c r="G34" s="456">
        <f t="shared" ref="G34:G39" si="3">SUM(F34/E34)*100</f>
        <v>34.375869224364131</v>
      </c>
      <c r="H34" s="8"/>
      <c r="I34" s="22"/>
      <c r="J34" s="22"/>
      <c r="K34" s="22"/>
      <c r="L34" s="22"/>
      <c r="M34" s="22"/>
      <c r="N34" s="22"/>
      <c r="O34" s="1718"/>
      <c r="Q34" s="553"/>
    </row>
    <row r="35" spans="1:17" ht="24.95" hidden="1" customHeight="1">
      <c r="A35" s="2580">
        <v>42186</v>
      </c>
      <c r="B35" s="1840">
        <v>14415499.999600001</v>
      </c>
      <c r="C35" s="448">
        <v>4304364.88</v>
      </c>
      <c r="D35" s="2587">
        <f t="shared" si="2"/>
        <v>29.859282578609392</v>
      </c>
      <c r="E35" s="682">
        <v>8437455.9900000002</v>
      </c>
      <c r="F35" s="452">
        <v>2328248.3300000005</v>
      </c>
      <c r="G35" s="456">
        <f t="shared" si="3"/>
        <v>27.594198212819364</v>
      </c>
      <c r="H35" s="8"/>
      <c r="I35" s="22"/>
      <c r="J35" s="22"/>
      <c r="K35" s="22"/>
      <c r="L35" s="22"/>
      <c r="M35" s="22"/>
      <c r="N35" s="22"/>
      <c r="O35" s="1718"/>
      <c r="Q35" s="553"/>
    </row>
    <row r="36" spans="1:17" ht="24.95" hidden="1" customHeight="1">
      <c r="A36" s="2580">
        <v>42217</v>
      </c>
      <c r="B36" s="1840">
        <v>14415499.999600001</v>
      </c>
      <c r="C36" s="448">
        <v>5068436.0599999996</v>
      </c>
      <c r="D36" s="2587">
        <f t="shared" si="2"/>
        <v>35.159627207801584</v>
      </c>
      <c r="E36" s="682">
        <v>8437455.9900000002</v>
      </c>
      <c r="F36" s="452">
        <v>2566796.64</v>
      </c>
      <c r="G36" s="456">
        <f t="shared" si="3"/>
        <v>30.421452189405734</v>
      </c>
      <c r="H36" s="8"/>
      <c r="I36" s="22"/>
      <c r="J36" s="22"/>
      <c r="K36" s="22"/>
      <c r="L36" s="22"/>
      <c r="M36" s="22"/>
      <c r="N36" s="22"/>
      <c r="O36" s="1718"/>
      <c r="Q36" s="553"/>
    </row>
    <row r="37" spans="1:17" ht="24.95" hidden="1" customHeight="1">
      <c r="A37" s="2580">
        <v>42248</v>
      </c>
      <c r="B37" s="1840">
        <v>14415499.999600001</v>
      </c>
      <c r="C37" s="448">
        <v>6921272.1800000016</v>
      </c>
      <c r="D37" s="2587">
        <f t="shared" si="2"/>
        <v>48.012709792876088</v>
      </c>
      <c r="E37" s="682">
        <v>8437455.9900000002</v>
      </c>
      <c r="F37" s="452">
        <v>2791054.13</v>
      </c>
      <c r="G37" s="456">
        <f t="shared" si="3"/>
        <v>33.079332601058105</v>
      </c>
      <c r="H37" s="8"/>
      <c r="I37" s="22"/>
      <c r="J37" s="22"/>
      <c r="K37" s="22"/>
      <c r="L37" s="22"/>
      <c r="M37" s="22"/>
      <c r="N37" s="22"/>
      <c r="O37" s="1718"/>
      <c r="Q37" s="553"/>
    </row>
    <row r="38" spans="1:17" ht="24.95" hidden="1" customHeight="1">
      <c r="A38" s="2580">
        <v>42278</v>
      </c>
      <c r="B38" s="2588">
        <v>14415499.999600001</v>
      </c>
      <c r="C38" s="637">
        <v>7393015.3900000006</v>
      </c>
      <c r="D38" s="2587">
        <f t="shared" si="2"/>
        <v>51.28518185428976</v>
      </c>
      <c r="E38" s="683">
        <v>8514469.8599999994</v>
      </c>
      <c r="F38" s="638">
        <v>2864042.5299999993</v>
      </c>
      <c r="G38" s="456">
        <f t="shared" si="3"/>
        <v>33.637355902273399</v>
      </c>
      <c r="H38" s="8"/>
      <c r="I38" s="22"/>
      <c r="J38" s="22"/>
      <c r="K38" s="22"/>
      <c r="L38" s="22"/>
      <c r="M38" s="22"/>
      <c r="N38" s="22"/>
      <c r="O38" s="1718"/>
      <c r="Q38" s="553"/>
    </row>
    <row r="39" spans="1:17" ht="24.95" hidden="1" customHeight="1">
      <c r="A39" s="2580">
        <v>42309</v>
      </c>
      <c r="B39" s="2588">
        <v>14415499.999600001</v>
      </c>
      <c r="C39" s="637">
        <v>8024560.8700000001</v>
      </c>
      <c r="D39" s="2587">
        <f t="shared" si="2"/>
        <v>55.666198676581899</v>
      </c>
      <c r="E39" s="683">
        <v>9012770.8699999992</v>
      </c>
      <c r="F39" s="638">
        <v>3048098.1799999997</v>
      </c>
      <c r="G39" s="456">
        <f t="shared" si="3"/>
        <v>33.819767793564246</v>
      </c>
      <c r="H39" s="8"/>
      <c r="I39" s="22"/>
      <c r="J39" s="22"/>
      <c r="K39" s="22"/>
      <c r="L39" s="22"/>
      <c r="M39" s="22"/>
      <c r="N39" s="22"/>
      <c r="O39" s="1718"/>
      <c r="Q39" s="553"/>
    </row>
    <row r="40" spans="1:17" ht="24.95" hidden="1" customHeight="1" thickBot="1">
      <c r="A40" s="2581">
        <v>42339</v>
      </c>
      <c r="B40" s="2588">
        <v>14415499.999600001</v>
      </c>
      <c r="C40" s="637">
        <v>10542586.77</v>
      </c>
      <c r="D40" s="2587">
        <f t="shared" ref="D40:D48" si="4">SUM(C40/B40)*100</f>
        <v>73.133687838039151</v>
      </c>
      <c r="E40" s="683">
        <v>9012770.8699999992</v>
      </c>
      <c r="F40" s="638">
        <v>3855769.1700000004</v>
      </c>
      <c r="G40" s="456">
        <f>SUM(F40/E40)*100</f>
        <v>42.781173798996186</v>
      </c>
      <c r="H40" s="8"/>
      <c r="I40" s="22"/>
      <c r="J40" s="22"/>
      <c r="K40" s="22"/>
      <c r="L40" s="22"/>
      <c r="M40" s="22"/>
      <c r="N40" s="22"/>
      <c r="O40" s="1718"/>
      <c r="Q40" s="553"/>
    </row>
    <row r="41" spans="1:17" ht="24.95" hidden="1" customHeight="1">
      <c r="A41" s="2579">
        <v>42370</v>
      </c>
      <c r="B41" s="1838">
        <v>12693344.805267407</v>
      </c>
      <c r="C41" s="444">
        <v>277745.16999999963</v>
      </c>
      <c r="D41" s="1839">
        <f t="shared" si="4"/>
        <v>2.1881164835665903</v>
      </c>
      <c r="E41" s="681">
        <v>8894843</v>
      </c>
      <c r="F41" s="2693">
        <v>0</v>
      </c>
      <c r="G41" s="677"/>
      <c r="H41" s="8"/>
      <c r="I41" s="22"/>
      <c r="J41" s="22"/>
      <c r="K41" s="22"/>
      <c r="L41" s="22"/>
      <c r="M41" s="22"/>
      <c r="N41" s="22"/>
      <c r="O41" s="1718"/>
      <c r="Q41" s="553"/>
    </row>
    <row r="42" spans="1:17" ht="24.95" hidden="1" customHeight="1">
      <c r="A42" s="2580">
        <v>42401</v>
      </c>
      <c r="B42" s="1840">
        <v>12693344.805267407</v>
      </c>
      <c r="C42" s="443">
        <v>631207.31999999995</v>
      </c>
      <c r="D42" s="1841">
        <f t="shared" si="4"/>
        <v>4.9727422494507945</v>
      </c>
      <c r="E42" s="682">
        <v>8894843</v>
      </c>
      <c r="F42" s="2692">
        <v>0</v>
      </c>
      <c r="G42" s="678"/>
      <c r="H42" s="8"/>
      <c r="I42" s="22"/>
      <c r="J42" s="22"/>
      <c r="K42" s="22"/>
      <c r="L42" s="22"/>
      <c r="M42" s="22"/>
      <c r="N42" s="22"/>
      <c r="O42" s="1718"/>
      <c r="Q42" s="553"/>
    </row>
    <row r="43" spans="1:17" ht="24.95" hidden="1" customHeight="1">
      <c r="A43" s="2580">
        <v>42430</v>
      </c>
      <c r="B43" s="1840">
        <v>12693344.805267407</v>
      </c>
      <c r="C43" s="443">
        <v>1012921.7800000003</v>
      </c>
      <c r="D43" s="1841">
        <f t="shared" si="4"/>
        <v>7.9799437858149425</v>
      </c>
      <c r="E43" s="682">
        <v>9094843</v>
      </c>
      <c r="F43" s="2692">
        <v>639121.90999999992</v>
      </c>
      <c r="G43" s="678">
        <f t="shared" ref="G43:G48" si="5">SUM(F43/E43)*100</f>
        <v>7.0273000864335966</v>
      </c>
      <c r="H43" s="8"/>
      <c r="I43" s="22"/>
      <c r="J43" s="22"/>
      <c r="K43" s="22"/>
      <c r="L43" s="22"/>
      <c r="M43" s="22"/>
      <c r="N43" s="22"/>
      <c r="O43" s="1718"/>
      <c r="Q43" s="553"/>
    </row>
    <row r="44" spans="1:17" ht="24.95" hidden="1" customHeight="1">
      <c r="A44" s="2580">
        <v>42461</v>
      </c>
      <c r="B44" s="1840">
        <v>12693344.805267407</v>
      </c>
      <c r="C44" s="443">
        <v>1444760.8900000001</v>
      </c>
      <c r="D44" s="1841">
        <f t="shared" si="4"/>
        <v>11.382034539867396</v>
      </c>
      <c r="E44" s="682">
        <v>9186051</v>
      </c>
      <c r="F44" s="2692">
        <v>860758.34000000008</v>
      </c>
      <c r="G44" s="678">
        <f t="shared" si="5"/>
        <v>9.3702760849030788</v>
      </c>
      <c r="H44" s="8"/>
      <c r="I44" s="22"/>
      <c r="J44" s="22"/>
      <c r="K44" s="22"/>
      <c r="L44" s="22"/>
      <c r="M44" s="22"/>
      <c r="N44" s="22"/>
      <c r="O44" s="1718"/>
      <c r="Q44" s="553"/>
    </row>
    <row r="45" spans="1:17" ht="24.95" hidden="1" customHeight="1">
      <c r="A45" s="2580">
        <v>42491</v>
      </c>
      <c r="B45" s="1840">
        <v>12693344.805267407</v>
      </c>
      <c r="C45" s="443">
        <v>1948969.58</v>
      </c>
      <c r="D45" s="1841">
        <f t="shared" si="4"/>
        <v>15.354263276541802</v>
      </c>
      <c r="E45" s="682">
        <v>9193954</v>
      </c>
      <c r="F45" s="2692">
        <v>945728.77</v>
      </c>
      <c r="G45" s="678">
        <f t="shared" si="5"/>
        <v>10.286420510696487</v>
      </c>
      <c r="H45" s="8"/>
      <c r="I45" s="22"/>
      <c r="J45" s="22"/>
      <c r="K45" s="22"/>
      <c r="L45" s="22"/>
      <c r="M45" s="22"/>
      <c r="N45" s="22"/>
      <c r="O45" s="1718"/>
      <c r="Q45" s="553"/>
    </row>
    <row r="46" spans="1:17" ht="24.95" hidden="1" customHeight="1">
      <c r="A46" s="2580">
        <v>42522</v>
      </c>
      <c r="B46" s="1840">
        <v>12693344.805267407</v>
      </c>
      <c r="C46" s="443">
        <v>3039463.9400000004</v>
      </c>
      <c r="D46" s="1841">
        <f t="shared" si="4"/>
        <v>23.945335028941326</v>
      </c>
      <c r="E46" s="682">
        <v>9210216.1699999999</v>
      </c>
      <c r="F46" s="2692">
        <v>1123033.48</v>
      </c>
      <c r="G46" s="678">
        <f t="shared" si="5"/>
        <v>12.193345511889326</v>
      </c>
      <c r="H46" s="8"/>
      <c r="I46" s="22"/>
      <c r="J46" s="22"/>
      <c r="K46" s="22"/>
      <c r="L46" s="22"/>
      <c r="M46" s="22"/>
      <c r="N46" s="22"/>
      <c r="O46" s="1718"/>
      <c r="Q46" s="553"/>
    </row>
    <row r="47" spans="1:17" ht="24.95" hidden="1" customHeight="1">
      <c r="A47" s="2580">
        <v>42552</v>
      </c>
      <c r="B47" s="1840">
        <v>12693344.805267407</v>
      </c>
      <c r="C47" s="443">
        <v>4178486.9399999995</v>
      </c>
      <c r="D47" s="1841">
        <f t="shared" si="4"/>
        <v>32.918722402199592</v>
      </c>
      <c r="E47" s="682">
        <v>9247040.1699999999</v>
      </c>
      <c r="F47" s="2692">
        <v>1609615.2000000002</v>
      </c>
      <c r="G47" s="678">
        <f t="shared" si="5"/>
        <v>17.40681526638161</v>
      </c>
      <c r="H47" s="8"/>
      <c r="I47" s="22"/>
      <c r="J47" s="22"/>
      <c r="K47" s="22"/>
      <c r="L47" s="22"/>
      <c r="M47" s="22"/>
      <c r="N47" s="22"/>
      <c r="O47" s="1718"/>
      <c r="Q47" s="553"/>
    </row>
    <row r="48" spans="1:17" ht="24.95" hidden="1" customHeight="1">
      <c r="A48" s="2580">
        <v>42583</v>
      </c>
      <c r="B48" s="1840">
        <v>12693344.805267407</v>
      </c>
      <c r="C48" s="443">
        <v>4659750.8899999978</v>
      </c>
      <c r="D48" s="1841">
        <f t="shared" si="4"/>
        <v>36.710189169889432</v>
      </c>
      <c r="E48" s="682">
        <v>9247040.1699999999</v>
      </c>
      <c r="F48" s="2692">
        <v>2068392.0399999996</v>
      </c>
      <c r="G48" s="678">
        <f t="shared" si="5"/>
        <v>22.368152424712562</v>
      </c>
      <c r="H48" s="8"/>
      <c r="I48" s="22"/>
      <c r="J48" s="22"/>
      <c r="K48" s="22"/>
      <c r="L48" s="22"/>
      <c r="M48" s="22"/>
      <c r="N48" s="22"/>
      <c r="O48" s="1718"/>
      <c r="Q48" s="553"/>
    </row>
    <row r="49" spans="1:17" ht="24.95" hidden="1" customHeight="1">
      <c r="A49" s="2580">
        <v>42614</v>
      </c>
      <c r="B49" s="1840">
        <v>12693344.805267407</v>
      </c>
      <c r="C49" s="443">
        <v>5092613.66</v>
      </c>
      <c r="D49" s="1841">
        <f t="shared" ref="D49:D71" si="6">SUM(C49/B49)*100</f>
        <v>40.120344464972689</v>
      </c>
      <c r="E49" s="682">
        <v>9394493.2300000004</v>
      </c>
      <c r="F49" s="2692">
        <v>2081491.8600000003</v>
      </c>
      <c r="G49" s="678">
        <f t="shared" ref="G49:G71" si="7">SUM(F49/E49)*100</f>
        <v>22.156510298533689</v>
      </c>
      <c r="H49" s="8"/>
      <c r="I49" s="22"/>
      <c r="J49" s="22"/>
      <c r="K49" s="22"/>
      <c r="L49" s="22"/>
      <c r="M49" s="22"/>
      <c r="N49" s="22"/>
      <c r="O49" s="1718"/>
      <c r="Q49" s="553"/>
    </row>
    <row r="50" spans="1:17" ht="24.95" hidden="1" customHeight="1">
      <c r="A50" s="2580">
        <v>42644</v>
      </c>
      <c r="B50" s="2589">
        <v>12693344.805267407</v>
      </c>
      <c r="C50" s="751">
        <v>5485089.8700000001</v>
      </c>
      <c r="D50" s="1841">
        <f t="shared" si="6"/>
        <v>43.212328619040044</v>
      </c>
      <c r="E50" s="752">
        <v>11687611.59</v>
      </c>
      <c r="F50" s="753">
        <v>2285231.61</v>
      </c>
      <c r="G50" s="678">
        <f t="shared" si="7"/>
        <v>19.552597144443606</v>
      </c>
      <c r="H50" s="8"/>
      <c r="I50" s="22"/>
      <c r="J50" s="22"/>
      <c r="K50" s="22"/>
      <c r="L50" s="22"/>
      <c r="M50" s="22"/>
      <c r="N50" s="22"/>
      <c r="O50" s="1718"/>
      <c r="Q50" s="553"/>
    </row>
    <row r="51" spans="1:17" ht="24.95" hidden="1" customHeight="1" thickBot="1">
      <c r="A51" s="2581">
        <v>42675</v>
      </c>
      <c r="B51" s="2588">
        <v>12693344.805267407</v>
      </c>
      <c r="C51" s="636">
        <v>6017631.21</v>
      </c>
      <c r="D51" s="2590">
        <f t="shared" si="6"/>
        <v>47.407766056294633</v>
      </c>
      <c r="E51" s="683">
        <v>11687611.59</v>
      </c>
      <c r="F51" s="2699">
        <v>2425004.5099999998</v>
      </c>
      <c r="G51" s="1113">
        <f t="shared" si="7"/>
        <v>20.748503587121686</v>
      </c>
      <c r="H51" s="8"/>
      <c r="I51" s="22"/>
      <c r="J51" s="22"/>
      <c r="K51" s="22"/>
      <c r="L51" s="22"/>
      <c r="M51" s="22"/>
      <c r="N51" s="22"/>
      <c r="O51" s="1718"/>
      <c r="Q51" s="553"/>
    </row>
    <row r="52" spans="1:17" ht="24.95" hidden="1" customHeight="1">
      <c r="A52" s="2579">
        <v>42705</v>
      </c>
      <c r="B52" s="1838">
        <v>12693344.805267407</v>
      </c>
      <c r="C52" s="444">
        <v>6663093.1100000003</v>
      </c>
      <c r="D52" s="1839">
        <f t="shared" si="6"/>
        <v>52.492807941646632</v>
      </c>
      <c r="E52" s="681">
        <v>11687611.59</v>
      </c>
      <c r="F52" s="2693">
        <v>3036464.31</v>
      </c>
      <c r="G52" s="677">
        <f t="shared" si="7"/>
        <v>25.980195240215032</v>
      </c>
      <c r="H52" s="8"/>
      <c r="I52" s="22"/>
      <c r="J52" s="22"/>
      <c r="K52" s="22"/>
      <c r="L52" s="22"/>
      <c r="M52" s="22"/>
      <c r="N52" s="22"/>
      <c r="O52" s="1718"/>
      <c r="Q52" s="553"/>
    </row>
    <row r="53" spans="1:17" ht="24.95" hidden="1" customHeight="1">
      <c r="A53" s="2580">
        <v>42736</v>
      </c>
      <c r="B53" s="1840">
        <v>12695344.805267405</v>
      </c>
      <c r="C53" s="443">
        <v>277745.16999999963</v>
      </c>
      <c r="D53" s="1841">
        <f t="shared" si="6"/>
        <v>2.1877717719392771</v>
      </c>
      <c r="E53" s="682">
        <v>9617901.504095858</v>
      </c>
      <c r="F53" s="2692">
        <v>77797.149999999994</v>
      </c>
      <c r="G53" s="678">
        <f t="shared" si="7"/>
        <v>0.80887863082055345</v>
      </c>
      <c r="H53" s="8"/>
      <c r="I53" s="22"/>
      <c r="J53" s="22"/>
      <c r="K53" s="22"/>
      <c r="L53" s="22"/>
      <c r="M53" s="22"/>
      <c r="N53" s="22"/>
      <c r="O53" s="1718"/>
      <c r="Q53" s="553"/>
    </row>
    <row r="54" spans="1:17" ht="24.95" hidden="1" customHeight="1">
      <c r="A54" s="2580">
        <v>42767</v>
      </c>
      <c r="B54" s="1840">
        <v>12693344.805687575</v>
      </c>
      <c r="C54" s="443">
        <v>857497.92999999993</v>
      </c>
      <c r="D54" s="1841">
        <f t="shared" si="6"/>
        <v>6.7554922924316712</v>
      </c>
      <c r="E54" s="682">
        <v>9668901.504095858</v>
      </c>
      <c r="F54" s="2692">
        <v>180800.59</v>
      </c>
      <c r="G54" s="678">
        <f t="shared" si="7"/>
        <v>1.8699186244002051</v>
      </c>
      <c r="H54" s="8"/>
      <c r="I54" s="22"/>
      <c r="J54" s="22"/>
      <c r="K54" s="22"/>
      <c r="L54" s="22"/>
      <c r="M54" s="22"/>
      <c r="N54" s="22"/>
      <c r="O54" s="1718"/>
    </row>
    <row r="55" spans="1:17" ht="24.95" hidden="1" customHeight="1">
      <c r="A55" s="2580">
        <v>42795</v>
      </c>
      <c r="B55" s="1840">
        <v>12693344.805687575</v>
      </c>
      <c r="C55" s="443">
        <v>1470353.25</v>
      </c>
      <c r="D55" s="1841">
        <f t="shared" si="6"/>
        <v>11.583654840457584</v>
      </c>
      <c r="E55" s="682">
        <v>9784147.504095858</v>
      </c>
      <c r="F55" s="2692">
        <v>284778.68999999994</v>
      </c>
      <c r="G55" s="678">
        <f t="shared" si="7"/>
        <v>2.9106132126563442</v>
      </c>
      <c r="H55" s="8"/>
      <c r="I55" s="22"/>
      <c r="J55" s="22"/>
      <c r="K55" s="22"/>
      <c r="L55" s="22"/>
      <c r="M55" s="22"/>
      <c r="N55" s="22"/>
      <c r="O55" s="1718"/>
      <c r="Q55" s="553"/>
    </row>
    <row r="56" spans="1:17" ht="24.95" hidden="1" customHeight="1" thickBot="1">
      <c r="A56" s="2580">
        <v>42826</v>
      </c>
      <c r="B56" s="2588">
        <v>12693345</v>
      </c>
      <c r="C56" s="636">
        <v>2112361</v>
      </c>
      <c r="D56" s="2590">
        <f>SUM(C56/B56)*100</f>
        <v>16.641484179308133</v>
      </c>
      <c r="E56" s="683">
        <v>9964820.5</v>
      </c>
      <c r="F56" s="2699">
        <v>608624.31000000006</v>
      </c>
      <c r="G56" s="1113">
        <f t="shared" si="7"/>
        <v>6.1077297880077221</v>
      </c>
      <c r="H56" s="8"/>
      <c r="I56" s="22"/>
      <c r="J56" s="22"/>
      <c r="K56" s="22"/>
      <c r="L56" s="22"/>
      <c r="M56" s="22"/>
      <c r="N56" s="22"/>
      <c r="O56" s="1718"/>
      <c r="Q56" s="553"/>
    </row>
    <row r="57" spans="1:17" ht="24.95" hidden="1" customHeight="1" thickBot="1">
      <c r="A57" s="2580">
        <v>42856</v>
      </c>
      <c r="B57" s="1838">
        <v>12693345</v>
      </c>
      <c r="C57" s="444">
        <v>2814164</v>
      </c>
      <c r="D57" s="1839">
        <f t="shared" si="6"/>
        <v>22.170389286669511</v>
      </c>
      <c r="E57" s="2591">
        <v>9964820.5</v>
      </c>
      <c r="F57" s="2681">
        <v>1681630.85</v>
      </c>
      <c r="G57" s="2592">
        <f t="shared" si="7"/>
        <v>16.875676285388185</v>
      </c>
      <c r="H57" s="8"/>
      <c r="I57" s="22"/>
      <c r="J57" s="22"/>
      <c r="K57" s="22"/>
      <c r="L57" s="22"/>
      <c r="M57" s="22"/>
      <c r="N57" s="22"/>
      <c r="O57" s="1718"/>
      <c r="Q57" s="553"/>
    </row>
    <row r="58" spans="1:17" ht="24.95" hidden="1" customHeight="1">
      <c r="A58" s="2580">
        <v>42887</v>
      </c>
      <c r="B58" s="1840">
        <v>12693344.805687575</v>
      </c>
      <c r="C58" s="443">
        <v>3317580.67</v>
      </c>
      <c r="D58" s="1841">
        <f t="shared" si="6"/>
        <v>26.136378714879577</v>
      </c>
      <c r="E58" s="681">
        <v>10184209.504095858</v>
      </c>
      <c r="F58" s="2693">
        <v>1775091.6</v>
      </c>
      <c r="G58" s="677">
        <f t="shared" si="7"/>
        <v>17.429841749485796</v>
      </c>
      <c r="H58" s="8"/>
      <c r="I58" s="22"/>
      <c r="J58" s="22"/>
      <c r="K58" s="22"/>
      <c r="L58" s="22"/>
      <c r="M58" s="22"/>
      <c r="N58" s="22"/>
      <c r="O58" s="1718"/>
      <c r="Q58" s="553"/>
    </row>
    <row r="59" spans="1:17" ht="24.95" hidden="1" customHeight="1">
      <c r="A59" s="2580">
        <v>42917</v>
      </c>
      <c r="B59" s="1840">
        <v>12693344.805687575</v>
      </c>
      <c r="C59" s="443">
        <v>3983557.21</v>
      </c>
      <c r="D59" s="1841">
        <f t="shared" si="6"/>
        <v>31.383037890966818</v>
      </c>
      <c r="E59" s="682">
        <v>10184209.504095858</v>
      </c>
      <c r="F59" s="2692">
        <v>1812888.8399999999</v>
      </c>
      <c r="G59" s="678">
        <f t="shared" si="7"/>
        <v>17.800977476660286</v>
      </c>
      <c r="H59" s="8"/>
      <c r="I59" s="22"/>
      <c r="J59" s="22"/>
      <c r="K59" s="22"/>
      <c r="L59" s="22"/>
      <c r="M59" s="22"/>
      <c r="N59" s="22"/>
      <c r="O59" s="1718"/>
      <c r="Q59" s="553"/>
    </row>
    <row r="60" spans="1:17" ht="24.95" hidden="1" customHeight="1">
      <c r="A60" s="2580">
        <v>42948</v>
      </c>
      <c r="B60" s="1840">
        <v>12693344.805687575</v>
      </c>
      <c r="C60" s="443">
        <v>4625982.1100000003</v>
      </c>
      <c r="D60" s="1841">
        <f t="shared" si="6"/>
        <v>36.444153852396823</v>
      </c>
      <c r="E60" s="682">
        <v>10184209.504095858</v>
      </c>
      <c r="F60" s="2692">
        <v>1935631.7</v>
      </c>
      <c r="G60" s="678">
        <f t="shared" si="7"/>
        <v>19.006204646728182</v>
      </c>
      <c r="H60" s="8"/>
      <c r="I60" s="22"/>
      <c r="J60" s="22"/>
      <c r="K60" s="22"/>
      <c r="L60" s="22"/>
      <c r="M60" s="22"/>
      <c r="N60" s="22"/>
      <c r="O60" s="1718"/>
      <c r="Q60" s="553"/>
    </row>
    <row r="61" spans="1:17" ht="24.95" customHeight="1">
      <c r="A61" s="2580">
        <v>42979</v>
      </c>
      <c r="B61" s="1840">
        <v>18210477</v>
      </c>
      <c r="C61" s="443">
        <v>8778305</v>
      </c>
      <c r="D61" s="1841">
        <f t="shared" si="6"/>
        <v>48.204695571675579</v>
      </c>
      <c r="E61" s="682">
        <v>10184209.504095858</v>
      </c>
      <c r="F61" s="2692">
        <v>2278393</v>
      </c>
      <c r="G61" s="678">
        <f t="shared" si="7"/>
        <v>22.371819816586473</v>
      </c>
      <c r="H61" s="8"/>
      <c r="I61" s="22"/>
      <c r="J61" s="22"/>
      <c r="K61" s="22"/>
      <c r="L61" s="22"/>
      <c r="M61" s="22"/>
      <c r="N61" s="22"/>
      <c r="O61" s="1718"/>
      <c r="Q61" s="553"/>
    </row>
    <row r="62" spans="1:17" ht="24.95" customHeight="1">
      <c r="A62" s="2580">
        <v>43009</v>
      </c>
      <c r="B62" s="1840">
        <v>18217127.35846702</v>
      </c>
      <c r="C62" s="443">
        <v>9838818.9200000092</v>
      </c>
      <c r="D62" s="1841">
        <f t="shared" si="6"/>
        <v>54.008619067084076</v>
      </c>
      <c r="E62" s="682">
        <v>10490158.09409586</v>
      </c>
      <c r="F62" s="2692">
        <v>2557668.2399999993</v>
      </c>
      <c r="G62" s="678">
        <f t="shared" si="7"/>
        <v>24.381598609457782</v>
      </c>
      <c r="H62" s="8"/>
      <c r="I62" s="22"/>
      <c r="J62" s="22"/>
      <c r="K62" s="22"/>
      <c r="L62" s="22"/>
      <c r="M62" s="22"/>
      <c r="N62" s="22"/>
      <c r="O62" s="1718"/>
      <c r="Q62" s="553"/>
    </row>
    <row r="63" spans="1:17" ht="24.95" customHeight="1">
      <c r="A63" s="2580">
        <v>43040</v>
      </c>
      <c r="B63" s="1840">
        <v>18215491</v>
      </c>
      <c r="C63" s="443">
        <v>10898703.59</v>
      </c>
      <c r="D63" s="1841">
        <f t="shared" si="6"/>
        <v>59.832060469849537</v>
      </c>
      <c r="E63" s="682">
        <v>10490158.09409586</v>
      </c>
      <c r="F63" s="2692">
        <v>2904900.12</v>
      </c>
      <c r="G63" s="678">
        <f t="shared" si="7"/>
        <v>27.691671507171616</v>
      </c>
      <c r="H63" s="8"/>
      <c r="I63" s="22"/>
      <c r="J63" s="22"/>
      <c r="K63" s="22"/>
      <c r="L63" s="22"/>
      <c r="M63" s="22"/>
      <c r="N63" s="22"/>
      <c r="O63" s="1718"/>
      <c r="Q63" s="553"/>
    </row>
    <row r="64" spans="1:17" ht="24.95" customHeight="1">
      <c r="A64" s="2580">
        <v>43070</v>
      </c>
      <c r="B64" s="1840">
        <v>18216991</v>
      </c>
      <c r="C64" s="443">
        <v>13217916.380000001</v>
      </c>
      <c r="D64" s="1841">
        <f t="shared" si="6"/>
        <v>72.5581759358612</v>
      </c>
      <c r="E64" s="682">
        <v>10490158.09409586</v>
      </c>
      <c r="F64" s="2692">
        <v>3593708.85</v>
      </c>
      <c r="G64" s="678">
        <f t="shared" si="7"/>
        <v>34.257909344785133</v>
      </c>
      <c r="H64" s="8"/>
      <c r="I64" s="22"/>
      <c r="J64" s="22"/>
      <c r="K64" s="22"/>
      <c r="L64" s="22"/>
      <c r="M64" s="22"/>
      <c r="N64" s="22"/>
      <c r="O64" s="1718"/>
      <c r="Q64" s="553"/>
    </row>
    <row r="65" spans="1:17" ht="24.95" customHeight="1">
      <c r="A65" s="2580">
        <v>43101</v>
      </c>
      <c r="B65" s="1842">
        <v>18841208</v>
      </c>
      <c r="C65" s="1306">
        <v>453312.38</v>
      </c>
      <c r="D65" s="1841">
        <f t="shared" si="6"/>
        <v>2.4059623990139061</v>
      </c>
      <c r="E65" s="1307">
        <v>14230060</v>
      </c>
      <c r="F65" s="1308">
        <v>430887.11</v>
      </c>
      <c r="G65" s="678">
        <f t="shared" si="7"/>
        <v>3.0280062768533655</v>
      </c>
      <c r="H65" s="8"/>
      <c r="I65" s="22"/>
      <c r="J65" s="22"/>
      <c r="K65" s="22"/>
      <c r="L65" s="22"/>
      <c r="M65" s="22"/>
      <c r="N65" s="22"/>
      <c r="O65" s="1718"/>
      <c r="Q65" s="553"/>
    </row>
    <row r="66" spans="1:17" ht="24.95" customHeight="1">
      <c r="A66" s="2580">
        <v>43132</v>
      </c>
      <c r="B66" s="1842">
        <v>18841208</v>
      </c>
      <c r="C66" s="1306">
        <v>967436.94</v>
      </c>
      <c r="D66" s="1841">
        <f t="shared" si="6"/>
        <v>5.1346863746740654</v>
      </c>
      <c r="E66" s="1307">
        <v>14230060</v>
      </c>
      <c r="F66" s="1308">
        <v>481171.14</v>
      </c>
      <c r="G66" s="678">
        <f t="shared" si="7"/>
        <v>3.3813711256312344</v>
      </c>
      <c r="H66" s="8"/>
      <c r="I66" s="22"/>
      <c r="J66" s="22"/>
      <c r="K66" s="22"/>
      <c r="L66" s="22"/>
      <c r="M66" s="22"/>
      <c r="N66" s="22"/>
      <c r="O66" s="1718"/>
      <c r="Q66" s="553"/>
    </row>
    <row r="67" spans="1:17" ht="24.95" customHeight="1">
      <c r="A67" s="2580">
        <v>43160</v>
      </c>
      <c r="B67" s="1842">
        <v>18841208</v>
      </c>
      <c r="C67" s="1306">
        <v>1590291.42</v>
      </c>
      <c r="D67" s="1841">
        <f t="shared" si="6"/>
        <v>8.4404960658573476</v>
      </c>
      <c r="E67" s="1307">
        <v>14230060</v>
      </c>
      <c r="F67" s="1308">
        <v>802742.52</v>
      </c>
      <c r="G67" s="678">
        <f t="shared" si="7"/>
        <v>5.641174527725112</v>
      </c>
      <c r="H67" s="8"/>
      <c r="I67" s="22"/>
      <c r="J67" s="22"/>
      <c r="K67" s="22"/>
      <c r="L67" s="22"/>
      <c r="M67" s="22"/>
      <c r="N67" s="22"/>
      <c r="O67" s="1718"/>
      <c r="Q67" s="553"/>
    </row>
    <row r="68" spans="1:17" ht="24.95" customHeight="1">
      <c r="A68" s="2580">
        <v>43191</v>
      </c>
      <c r="B68" s="1842">
        <v>18841208</v>
      </c>
      <c r="C68" s="1306">
        <v>2195878.0900000008</v>
      </c>
      <c r="D68" s="1841">
        <f t="shared" si="6"/>
        <v>11.654656591021132</v>
      </c>
      <c r="E68" s="1307">
        <v>14275059.632758452</v>
      </c>
      <c r="F68" s="1308">
        <v>1133125.29</v>
      </c>
      <c r="G68" s="678">
        <f t="shared" si="7"/>
        <v>7.9377972432402357</v>
      </c>
      <c r="H68" s="8"/>
      <c r="I68" s="22"/>
      <c r="J68" s="22"/>
      <c r="K68" s="22"/>
      <c r="L68" s="22"/>
      <c r="M68" s="22"/>
      <c r="N68" s="22"/>
      <c r="O68" s="1718"/>
      <c r="Q68" s="553"/>
    </row>
    <row r="69" spans="1:17" s="2714" customFormat="1" ht="24.95" customHeight="1">
      <c r="A69" s="2580">
        <v>43221</v>
      </c>
      <c r="B69" s="1842">
        <v>18841208</v>
      </c>
      <c r="C69" s="1306">
        <v>4554793.75</v>
      </c>
      <c r="D69" s="1841">
        <f t="shared" si="6"/>
        <v>24.174637581624278</v>
      </c>
      <c r="E69" s="1307">
        <v>14230060</v>
      </c>
      <c r="F69" s="1308">
        <v>1346904.99</v>
      </c>
      <c r="G69" s="678">
        <f t="shared" si="7"/>
        <v>9.4652094931433872</v>
      </c>
      <c r="H69" s="2715"/>
      <c r="I69" s="2645"/>
      <c r="J69" s="2645"/>
      <c r="K69" s="2645"/>
      <c r="L69" s="2645"/>
      <c r="M69" s="2645"/>
      <c r="N69" s="2645"/>
      <c r="O69" s="1718"/>
      <c r="P69" s="2715"/>
      <c r="Q69" s="553"/>
    </row>
    <row r="70" spans="1:17" s="2714" customFormat="1" ht="24.95" customHeight="1">
      <c r="A70" s="2580">
        <v>43252</v>
      </c>
      <c r="B70" s="1842">
        <v>18841208</v>
      </c>
      <c r="C70" s="1306">
        <v>5660288</v>
      </c>
      <c r="D70" s="1841">
        <f t="shared" ref="D70" si="8">SUM(C70/B70)*100</f>
        <v>30.042065243375056</v>
      </c>
      <c r="E70" s="1307">
        <v>14230060</v>
      </c>
      <c r="F70" s="1308">
        <v>1712881.4</v>
      </c>
      <c r="G70" s="678">
        <f t="shared" ref="G70" si="9">SUM(F70/E70)*100</f>
        <v>12.037063793125256</v>
      </c>
      <c r="H70" s="2715"/>
      <c r="I70" s="2645"/>
      <c r="J70" s="2645"/>
      <c r="K70" s="2645"/>
      <c r="L70" s="2645"/>
      <c r="M70" s="2645"/>
      <c r="N70" s="2645"/>
      <c r="O70" s="1718"/>
      <c r="P70" s="2715"/>
      <c r="Q70" s="553"/>
    </row>
    <row r="71" spans="1:17" ht="24.95" customHeight="1">
      <c r="A71" s="2580">
        <v>43282</v>
      </c>
      <c r="B71" s="1842">
        <v>18841208</v>
      </c>
      <c r="C71" s="1306">
        <v>6816540</v>
      </c>
      <c r="D71" s="1841">
        <f t="shared" si="6"/>
        <v>36.178890440570477</v>
      </c>
      <c r="E71" s="1307">
        <v>14230060</v>
      </c>
      <c r="F71" s="1308">
        <v>2515661.94</v>
      </c>
      <c r="G71" s="678">
        <f t="shared" si="7"/>
        <v>17.678505501733653</v>
      </c>
      <c r="H71" s="1831"/>
      <c r="I71" s="22"/>
      <c r="J71" s="22"/>
      <c r="K71" s="22"/>
      <c r="L71" s="22"/>
      <c r="M71" s="22"/>
      <c r="N71" s="22"/>
      <c r="O71" s="1718"/>
      <c r="P71" s="1831"/>
      <c r="Q71" s="553"/>
    </row>
    <row r="72" spans="1:17" s="2714" customFormat="1" ht="24.95" customHeight="1">
      <c r="A72" s="2580">
        <v>43313</v>
      </c>
      <c r="B72" s="1842">
        <v>18841208</v>
      </c>
      <c r="C72" s="1306">
        <v>7929868</v>
      </c>
      <c r="D72" s="1841">
        <f t="shared" ref="D72" si="10">SUM(C72/B72)*100</f>
        <v>42.087895850414689</v>
      </c>
      <c r="E72" s="1307">
        <v>14230060</v>
      </c>
      <c r="F72" s="1308">
        <v>3029032.15</v>
      </c>
      <c r="G72" s="678">
        <f t="shared" ref="G72" si="11">SUM(F72/E72)*100</f>
        <v>21.286151639557389</v>
      </c>
      <c r="H72" s="2715"/>
      <c r="I72" s="2645"/>
      <c r="J72" s="2645"/>
      <c r="K72" s="2645"/>
      <c r="L72" s="2645"/>
      <c r="M72" s="2645"/>
      <c r="N72" s="2645"/>
      <c r="O72" s="1718"/>
      <c r="P72" s="2715"/>
      <c r="Q72" s="553"/>
    </row>
    <row r="73" spans="1:17" s="2714" customFormat="1" ht="24.95" customHeight="1" thickBot="1">
      <c r="A73" s="2580">
        <v>43344</v>
      </c>
      <c r="B73" s="1843">
        <v>18841208</v>
      </c>
      <c r="C73" s="1740">
        <v>8845785</v>
      </c>
      <c r="D73" s="1844">
        <v>46.95</v>
      </c>
      <c r="E73" s="1741">
        <v>14230060</v>
      </c>
      <c r="F73" s="1742">
        <v>3615476.07</v>
      </c>
      <c r="G73" s="1112">
        <v>25.41</v>
      </c>
      <c r="H73" s="2715"/>
      <c r="I73" s="2645"/>
      <c r="J73" s="2645"/>
      <c r="K73" s="2645"/>
      <c r="L73" s="2645"/>
      <c r="M73" s="2645"/>
      <c r="N73" s="2645"/>
      <c r="O73" s="1718"/>
      <c r="P73" s="2715"/>
      <c r="Q73" s="553"/>
    </row>
    <row r="74" spans="1:17" ht="15" customHeight="1" thickBot="1">
      <c r="A74" s="1746"/>
      <c r="B74" s="162"/>
      <c r="C74" s="162"/>
      <c r="D74" s="289"/>
      <c r="E74" s="162"/>
      <c r="F74" s="162"/>
      <c r="G74" s="162"/>
      <c r="H74" s="162"/>
      <c r="I74" s="162"/>
      <c r="J74" s="162"/>
      <c r="K74" s="162"/>
      <c r="L74" s="162"/>
      <c r="M74" s="162"/>
      <c r="N74" s="162"/>
      <c r="O74" s="1720"/>
    </row>
    <row r="75" spans="1:17" ht="99" customHeight="1">
      <c r="A75" s="3474" t="s">
        <v>71</v>
      </c>
      <c r="B75" s="3475"/>
      <c r="C75" s="3476"/>
      <c r="D75" s="3477" t="s">
        <v>837</v>
      </c>
      <c r="E75" s="3478"/>
      <c r="F75" s="3478"/>
      <c r="G75" s="3478"/>
      <c r="H75" s="3478"/>
      <c r="I75" s="3478"/>
      <c r="J75" s="3478"/>
      <c r="K75" s="3478"/>
      <c r="L75" s="3478"/>
      <c r="M75" s="3478"/>
      <c r="N75" s="3478"/>
      <c r="O75" s="3479"/>
    </row>
    <row r="76" spans="1:17" ht="31.5" customHeight="1">
      <c r="A76" s="3503" t="s">
        <v>72</v>
      </c>
      <c r="B76" s="3504"/>
      <c r="C76" s="3505"/>
      <c r="D76" s="3506" t="s">
        <v>778</v>
      </c>
      <c r="E76" s="3507"/>
      <c r="F76" s="3507"/>
      <c r="G76" s="3507"/>
      <c r="H76" s="3507"/>
      <c r="I76" s="3507"/>
      <c r="J76" s="3507"/>
      <c r="K76" s="3507"/>
      <c r="L76" s="3507"/>
      <c r="M76" s="3507"/>
      <c r="N76" s="3507"/>
      <c r="O76" s="3508"/>
    </row>
    <row r="77" spans="1:17" ht="33" customHeight="1" thickBot="1">
      <c r="A77" s="3509" t="s">
        <v>21</v>
      </c>
      <c r="B77" s="3510"/>
      <c r="C77" s="3511"/>
      <c r="D77" s="3512" t="s">
        <v>827</v>
      </c>
      <c r="E77" s="3513"/>
      <c r="F77" s="3513"/>
      <c r="G77" s="3513"/>
      <c r="H77" s="3513"/>
      <c r="I77" s="3513"/>
      <c r="J77" s="3513"/>
      <c r="K77" s="3513"/>
      <c r="L77" s="3513"/>
      <c r="M77" s="3513"/>
      <c r="N77" s="3513"/>
      <c r="O77" s="3514"/>
    </row>
    <row r="78" spans="1:17" ht="15" customHeight="1">
      <c r="A78" s="67"/>
      <c r="B78" s="21"/>
      <c r="C78" s="21"/>
      <c r="D78" s="23"/>
      <c r="E78" s="21"/>
      <c r="F78" s="21"/>
      <c r="G78" s="21"/>
      <c r="H78" s="21"/>
      <c r="I78" s="21"/>
      <c r="J78" s="21"/>
      <c r="K78" s="21"/>
      <c r="L78" s="21"/>
      <c r="M78" s="21"/>
      <c r="N78" s="21"/>
      <c r="O78" s="21"/>
    </row>
    <row r="243" spans="1:14" ht="15" customHeight="1">
      <c r="A243" s="96"/>
      <c r="B243" s="84"/>
      <c r="C243" s="84"/>
      <c r="D243" s="290"/>
      <c r="E243" s="84"/>
      <c r="F243" s="84"/>
      <c r="G243" s="84"/>
      <c r="H243" s="84"/>
      <c r="I243" s="84"/>
      <c r="J243" s="84"/>
      <c r="K243" s="84"/>
      <c r="L243" s="84"/>
      <c r="M243" s="84"/>
      <c r="N243" s="83"/>
    </row>
    <row r="244" spans="1:14" ht="15" customHeight="1">
      <c r="A244" s="47"/>
      <c r="B244" s="8"/>
      <c r="C244" s="8"/>
      <c r="D244" s="291"/>
      <c r="E244" s="8"/>
      <c r="F244" s="8"/>
      <c r="G244" s="8"/>
      <c r="H244" s="8"/>
      <c r="I244" s="8"/>
      <c r="J244" s="8"/>
      <c r="K244" s="8"/>
      <c r="L244" s="8"/>
      <c r="N244" s="48"/>
    </row>
    <row r="245" spans="1:14" ht="15" customHeight="1">
      <c r="A245" s="47"/>
      <c r="B245" s="8"/>
      <c r="C245" s="8"/>
      <c r="D245" s="291"/>
      <c r="E245" s="8"/>
      <c r="F245" s="8"/>
      <c r="G245" s="8"/>
      <c r="H245" s="8"/>
      <c r="I245" s="8"/>
      <c r="J245" s="8"/>
      <c r="K245" s="8"/>
      <c r="L245" s="8"/>
      <c r="N245" s="48"/>
    </row>
    <row r="246" spans="1:14" ht="15" customHeight="1">
      <c r="A246" s="47"/>
      <c r="B246" s="8"/>
      <c r="C246" s="8"/>
      <c r="D246" s="291"/>
      <c r="E246" s="8"/>
      <c r="F246" s="8"/>
      <c r="G246" s="8"/>
      <c r="H246" s="8"/>
      <c r="I246" s="8"/>
      <c r="J246" s="8"/>
      <c r="K246" s="8"/>
      <c r="L246" s="8"/>
      <c r="N246" s="48"/>
    </row>
    <row r="247" spans="1:14" ht="15" customHeight="1">
      <c r="A247" s="47"/>
      <c r="B247" s="8"/>
      <c r="C247" s="8"/>
      <c r="D247" s="291"/>
      <c r="E247" s="8"/>
      <c r="F247" s="8"/>
      <c r="G247" s="8"/>
      <c r="H247" s="8"/>
      <c r="I247" s="8"/>
      <c r="J247" s="8"/>
      <c r="K247" s="8"/>
      <c r="L247" s="8"/>
      <c r="N247" s="48"/>
    </row>
    <row r="248" spans="1:14" ht="15" customHeight="1">
      <c r="A248" s="47"/>
      <c r="B248" s="8"/>
      <c r="C248" s="8"/>
      <c r="D248" s="291"/>
      <c r="E248" s="8"/>
      <c r="F248" s="8"/>
      <c r="G248" s="8"/>
      <c r="H248" s="8"/>
      <c r="I248" s="8"/>
      <c r="J248" s="8"/>
      <c r="K248" s="8"/>
      <c r="L248" s="8"/>
      <c r="N248" s="48"/>
    </row>
    <row r="249" spans="1:14" ht="15" customHeight="1">
      <c r="A249" s="47"/>
      <c r="B249" s="8"/>
      <c r="C249" s="8"/>
      <c r="D249" s="291"/>
      <c r="E249" s="8"/>
      <c r="F249" s="8"/>
      <c r="G249" s="8"/>
      <c r="H249" s="8"/>
      <c r="I249" s="8"/>
      <c r="J249" s="8"/>
      <c r="K249" s="8"/>
      <c r="L249" s="8"/>
      <c r="N249" s="48"/>
    </row>
    <row r="250" spans="1:14" ht="15" customHeight="1">
      <c r="A250" s="47"/>
      <c r="B250" s="8"/>
      <c r="C250" s="8"/>
      <c r="D250" s="291"/>
      <c r="E250" s="8"/>
      <c r="F250" s="8"/>
      <c r="G250" s="8"/>
      <c r="H250" s="8"/>
      <c r="I250" s="8"/>
      <c r="J250" s="8"/>
      <c r="K250" s="8"/>
      <c r="L250" s="8"/>
      <c r="N250" s="48"/>
    </row>
    <row r="251" spans="1:14" ht="15" customHeight="1">
      <c r="A251" s="47"/>
      <c r="B251" s="8"/>
      <c r="C251" s="8"/>
      <c r="D251" s="291"/>
      <c r="E251" s="8"/>
      <c r="F251" s="8"/>
      <c r="G251" s="8"/>
      <c r="H251" s="8"/>
      <c r="I251" s="8"/>
      <c r="J251" s="8"/>
      <c r="K251" s="8"/>
      <c r="L251" s="8"/>
      <c r="N251" s="48"/>
    </row>
    <row r="252" spans="1:14" ht="15" customHeight="1">
      <c r="A252" s="47"/>
      <c r="B252" s="8"/>
      <c r="C252" s="8"/>
      <c r="D252" s="291"/>
      <c r="E252" s="8"/>
      <c r="F252" s="8"/>
      <c r="G252" s="8"/>
      <c r="H252" s="8"/>
      <c r="I252" s="8"/>
      <c r="J252" s="8"/>
      <c r="K252" s="8"/>
      <c r="L252" s="8"/>
      <c r="N252" s="48"/>
    </row>
    <row r="253" spans="1:14" ht="15" customHeight="1">
      <c r="A253" s="47"/>
      <c r="B253" s="8"/>
      <c r="C253" s="8"/>
      <c r="D253" s="291"/>
      <c r="E253" s="8"/>
      <c r="F253" s="8"/>
      <c r="G253" s="8"/>
      <c r="H253" s="8"/>
      <c r="I253" s="8"/>
      <c r="J253" s="8"/>
      <c r="K253" s="8"/>
      <c r="L253" s="8"/>
      <c r="N253" s="48"/>
    </row>
    <row r="254" spans="1:14" ht="15" customHeight="1">
      <c r="A254" s="47"/>
      <c r="B254" s="8"/>
      <c r="C254" s="8"/>
      <c r="D254" s="291"/>
      <c r="E254" s="8"/>
      <c r="F254" s="8"/>
      <c r="G254" s="8"/>
      <c r="H254" s="8"/>
      <c r="I254" s="8"/>
      <c r="J254" s="8"/>
      <c r="K254" s="8"/>
      <c r="L254" s="8"/>
      <c r="N254" s="48"/>
    </row>
    <row r="255" spans="1:14" ht="15" customHeight="1">
      <c r="A255" s="47"/>
      <c r="B255" s="8"/>
      <c r="C255" s="8"/>
      <c r="D255" s="291"/>
      <c r="E255" s="8"/>
      <c r="F255" s="8"/>
      <c r="G255" s="8"/>
      <c r="H255" s="8"/>
      <c r="I255" s="8"/>
      <c r="J255" s="8"/>
      <c r="K255" s="8"/>
      <c r="L255" s="8"/>
      <c r="N255" s="48"/>
    </row>
    <row r="256" spans="1:14" ht="15" customHeight="1">
      <c r="A256" s="47"/>
      <c r="B256" s="8"/>
      <c r="C256" s="8"/>
      <c r="D256" s="291"/>
      <c r="E256" s="8"/>
      <c r="F256" s="8"/>
      <c r="G256" s="8"/>
      <c r="H256" s="8"/>
      <c r="I256" s="8"/>
      <c r="J256" s="8"/>
      <c r="K256" s="8"/>
      <c r="L256" s="8"/>
      <c r="N256" s="48"/>
    </row>
    <row r="257" spans="1:14" ht="15" customHeight="1">
      <c r="A257" s="47"/>
      <c r="B257" s="8"/>
      <c r="C257" s="8"/>
      <c r="D257" s="291"/>
      <c r="E257" s="8"/>
      <c r="F257" s="8"/>
      <c r="G257" s="8"/>
      <c r="H257" s="8"/>
      <c r="I257" s="8"/>
      <c r="J257" s="8"/>
      <c r="K257" s="8"/>
      <c r="L257" s="8"/>
      <c r="N257" s="48"/>
    </row>
    <row r="258" spans="1:14" ht="15" customHeight="1">
      <c r="A258" s="47"/>
      <c r="B258" s="8"/>
      <c r="C258" s="8"/>
      <c r="D258" s="291"/>
      <c r="E258" s="8"/>
      <c r="F258" s="8"/>
      <c r="G258" s="8"/>
      <c r="H258" s="8"/>
      <c r="I258" s="8"/>
      <c r="J258" s="8"/>
      <c r="K258" s="8"/>
      <c r="L258" s="8"/>
      <c r="N258" s="48"/>
    </row>
    <row r="259" spans="1:14" ht="15" customHeight="1">
      <c r="A259" s="47"/>
      <c r="B259" s="8"/>
      <c r="C259" s="8"/>
      <c r="D259" s="291"/>
      <c r="E259" s="8"/>
      <c r="F259" s="8"/>
      <c r="G259" s="8"/>
      <c r="H259" s="8"/>
      <c r="I259" s="8"/>
      <c r="J259" s="8"/>
      <c r="K259" s="8"/>
      <c r="L259" s="8"/>
      <c r="N259" s="48"/>
    </row>
    <row r="260" spans="1:14" ht="15" customHeight="1">
      <c r="A260" s="47"/>
      <c r="B260" s="8"/>
      <c r="C260" s="8"/>
      <c r="D260" s="291"/>
      <c r="E260" s="8"/>
      <c r="F260" s="8"/>
      <c r="G260" s="8"/>
      <c r="H260" s="8"/>
      <c r="I260" s="8"/>
      <c r="J260" s="8"/>
      <c r="K260" s="8"/>
      <c r="L260" s="8"/>
      <c r="N260" s="48"/>
    </row>
    <row r="261" spans="1:14" ht="15" customHeight="1">
      <c r="A261" s="47"/>
      <c r="B261" s="8"/>
      <c r="C261" s="8"/>
      <c r="D261" s="291"/>
      <c r="E261" s="8"/>
      <c r="F261" s="8"/>
      <c r="G261" s="8"/>
      <c r="H261" s="8"/>
      <c r="I261" s="8"/>
      <c r="J261" s="8"/>
      <c r="K261" s="8"/>
      <c r="L261" s="8"/>
      <c r="N261" s="48"/>
    </row>
    <row r="262" spans="1:14" ht="15" customHeight="1">
      <c r="A262" s="47"/>
      <c r="B262" s="8"/>
      <c r="C262" s="8"/>
      <c r="D262" s="291"/>
      <c r="E262" s="8"/>
      <c r="F262" s="8"/>
      <c r="G262" s="8"/>
      <c r="H262" s="8"/>
      <c r="I262" s="8"/>
      <c r="J262" s="8"/>
      <c r="K262" s="8"/>
      <c r="L262" s="8"/>
      <c r="N262" s="48"/>
    </row>
    <row r="263" spans="1:14" ht="15" customHeight="1">
      <c r="A263" s="57"/>
      <c r="B263" s="39"/>
      <c r="C263" s="39"/>
      <c r="D263" s="292"/>
      <c r="E263" s="39"/>
      <c r="F263" s="39"/>
      <c r="G263" s="39"/>
      <c r="H263" s="39"/>
      <c r="I263" s="39"/>
      <c r="J263" s="39"/>
      <c r="K263" s="39"/>
      <c r="L263" s="39"/>
      <c r="M263" s="39"/>
      <c r="N263" s="58"/>
    </row>
  </sheetData>
  <mergeCells count="32">
    <mergeCell ref="A1:O1"/>
    <mergeCell ref="A76:C76"/>
    <mergeCell ref="D76:O76"/>
    <mergeCell ref="A77:C77"/>
    <mergeCell ref="D77:O77"/>
    <mergeCell ref="A9:C9"/>
    <mergeCell ref="D9:O9"/>
    <mergeCell ref="A10:C10"/>
    <mergeCell ref="D10:O10"/>
    <mergeCell ref="A11:C11"/>
    <mergeCell ref="D11:O11"/>
    <mergeCell ref="A5:C5"/>
    <mergeCell ref="A6:C6"/>
    <mergeCell ref="D6:O6"/>
    <mergeCell ref="A7:C7"/>
    <mergeCell ref="D7:O7"/>
    <mergeCell ref="A75:C75"/>
    <mergeCell ref="D75:O75"/>
    <mergeCell ref="A8:C8"/>
    <mergeCell ref="D8:O8"/>
    <mergeCell ref="A2:C2"/>
    <mergeCell ref="D2:M2"/>
    <mergeCell ref="N2:O2"/>
    <mergeCell ref="A3:C3"/>
    <mergeCell ref="D3:O3"/>
    <mergeCell ref="A4:C4"/>
    <mergeCell ref="D4:O4"/>
    <mergeCell ref="A13:G13"/>
    <mergeCell ref="A14:G14"/>
    <mergeCell ref="A15:A16"/>
    <mergeCell ref="B15:D15"/>
    <mergeCell ref="E15:G15"/>
  </mergeCells>
  <hyperlinks>
    <hyperlink ref="A13:G13" r:id="rId1" display="RESULTADO" xr:uid="{00000000-0004-0000-1400-000000000000}"/>
  </hyperlinks>
  <printOptions horizontalCentered="1" verticalCentered="1"/>
  <pageMargins left="0.19685039370078741" right="0.19685039370078741" top="0.39370078740157483" bottom="0.19685039370078741" header="0" footer="0"/>
  <pageSetup paperSize="9" scale="73" orientation="landscape"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5">
    <tabColor theme="8" tint="-0.249977111117893"/>
  </sheetPr>
  <dimension ref="A1:BR187"/>
  <sheetViews>
    <sheetView showGridLines="0" view="pageBreakPreview" zoomScale="60" zoomScaleNormal="60" workbookViewId="0">
      <selection activeCell="S75" sqref="S75"/>
    </sheetView>
  </sheetViews>
  <sheetFormatPr baseColWidth="10" defaultColWidth="12" defaultRowHeight="15"/>
  <cols>
    <col min="1" max="1" width="17.33203125" style="1006" customWidth="1"/>
    <col min="2" max="2" width="20.5" style="1006" bestFit="1" customWidth="1"/>
    <col min="3" max="3" width="17.6640625" style="1006" bestFit="1" customWidth="1"/>
    <col min="4" max="4" width="13" style="1006" customWidth="1"/>
    <col min="5" max="5" width="21" style="1006" bestFit="1" customWidth="1"/>
    <col min="6" max="6" width="17.6640625" style="1006" bestFit="1" customWidth="1"/>
    <col min="7" max="7" width="16" style="1006" customWidth="1"/>
    <col min="8" max="8" width="15.5" style="1006" customWidth="1"/>
    <col min="9" max="10" width="20.5" style="1006" bestFit="1" customWidth="1"/>
    <col min="11" max="11" width="18" style="1006" customWidth="1"/>
    <col min="12" max="12" width="19.1640625" style="1006" customWidth="1"/>
    <col min="13" max="13" width="12.83203125" style="1006" customWidth="1"/>
    <col min="14" max="14" width="16" style="1006" customWidth="1"/>
    <col min="15" max="15" width="13.5" style="1006" customWidth="1"/>
    <col min="16" max="16" width="18.1640625" style="1006" customWidth="1"/>
    <col min="17" max="17" width="26.33203125" style="1006" bestFit="1" customWidth="1"/>
    <col min="18" max="18" width="25.33203125" style="1006" customWidth="1"/>
    <col min="19" max="19" width="22.1640625" style="1006" bestFit="1" customWidth="1"/>
    <col min="20" max="21" width="14" style="1006" bestFit="1" customWidth="1"/>
    <col min="22" max="23" width="13" style="1006" bestFit="1" customWidth="1"/>
    <col min="24" max="24" width="14" style="1006" bestFit="1" customWidth="1"/>
    <col min="25" max="16384" width="12" style="1006"/>
  </cols>
  <sheetData>
    <row r="1" spans="1:70" ht="30" customHeight="1" thickBot="1">
      <c r="A1" s="3520" t="s">
        <v>353</v>
      </c>
      <c r="B1" s="3521"/>
      <c r="C1" s="3521"/>
      <c r="D1" s="3521"/>
      <c r="E1" s="3521"/>
      <c r="F1" s="3521"/>
      <c r="G1" s="3521"/>
      <c r="H1" s="3521"/>
      <c r="I1" s="3521"/>
      <c r="J1" s="3521"/>
      <c r="K1" s="3521"/>
      <c r="L1" s="3521"/>
      <c r="M1" s="3521"/>
      <c r="N1" s="3521"/>
      <c r="O1" s="3521"/>
      <c r="P1" s="3521"/>
      <c r="Q1" s="3521"/>
      <c r="R1" s="3521"/>
      <c r="S1" s="3521"/>
      <c r="T1" s="828"/>
      <c r="U1" s="828"/>
      <c r="V1" s="828"/>
      <c r="W1" s="828"/>
      <c r="X1" s="828"/>
      <c r="Y1" s="828"/>
      <c r="Z1" s="828"/>
    </row>
    <row r="2" spans="1:70" s="1469" customFormat="1" ht="24" customHeight="1">
      <c r="A2" s="2497" t="s">
        <v>18</v>
      </c>
      <c r="B2" s="2498"/>
      <c r="C2" s="2498"/>
      <c r="D2" s="3525" t="s">
        <v>354</v>
      </c>
      <c r="E2" s="3526"/>
      <c r="F2" s="3526"/>
      <c r="G2" s="3526"/>
      <c r="H2" s="3526"/>
      <c r="I2" s="3526"/>
      <c r="J2" s="3526"/>
      <c r="K2" s="3526"/>
      <c r="L2" s="3526"/>
      <c r="M2" s="3526"/>
      <c r="N2" s="3526"/>
      <c r="O2" s="3526"/>
      <c r="P2" s="3526"/>
      <c r="Q2" s="3526"/>
      <c r="R2" s="3526"/>
      <c r="S2" s="3527"/>
      <c r="T2" s="1468"/>
      <c r="U2" s="1468"/>
      <c r="V2" s="1468"/>
      <c r="W2" s="1468"/>
      <c r="X2" s="1468"/>
      <c r="Y2" s="1468"/>
      <c r="Z2" s="1468"/>
    </row>
    <row r="3" spans="1:70" s="1469" customFormat="1" ht="24" customHeight="1">
      <c r="A3" s="1470" t="s">
        <v>17</v>
      </c>
      <c r="B3" s="1471"/>
      <c r="C3" s="1471"/>
      <c r="D3" s="3528" t="s">
        <v>355</v>
      </c>
      <c r="E3" s="3529"/>
      <c r="F3" s="3529"/>
      <c r="G3" s="3529"/>
      <c r="H3" s="3529"/>
      <c r="I3" s="3529"/>
      <c r="J3" s="3529"/>
      <c r="K3" s="3529"/>
      <c r="L3" s="3529"/>
      <c r="M3" s="3529"/>
      <c r="N3" s="3529"/>
      <c r="O3" s="3529"/>
      <c r="P3" s="3529"/>
      <c r="Q3" s="3529"/>
      <c r="R3" s="3529"/>
      <c r="S3" s="3530"/>
      <c r="T3" s="1468"/>
      <c r="U3" s="1468"/>
      <c r="V3" s="1468"/>
      <c r="W3" s="1468"/>
      <c r="X3" s="1468"/>
      <c r="Y3" s="1468"/>
      <c r="Z3" s="1468"/>
    </row>
    <row r="4" spans="1:70" s="1469" customFormat="1" ht="24" customHeight="1">
      <c r="A4" s="1470" t="s">
        <v>8</v>
      </c>
      <c r="B4" s="1471"/>
      <c r="C4" s="1472"/>
      <c r="D4" s="3528" t="s">
        <v>356</v>
      </c>
      <c r="E4" s="3529"/>
      <c r="F4" s="3529"/>
      <c r="G4" s="3529"/>
      <c r="H4" s="3529"/>
      <c r="I4" s="3529"/>
      <c r="J4" s="3529"/>
      <c r="K4" s="3529"/>
      <c r="L4" s="3529"/>
      <c r="M4" s="3529"/>
      <c r="N4" s="3529"/>
      <c r="O4" s="3529"/>
      <c r="P4" s="3529"/>
      <c r="Q4" s="3529"/>
      <c r="R4" s="3529"/>
      <c r="S4" s="3530"/>
      <c r="T4" s="1468"/>
      <c r="U4" s="1468"/>
      <c r="V4" s="1468"/>
      <c r="W4" s="1468"/>
      <c r="X4" s="1468"/>
      <c r="Y4" s="1468"/>
      <c r="Z4" s="1468"/>
    </row>
    <row r="5" spans="1:70" s="1469" customFormat="1" ht="24" customHeight="1">
      <c r="A5" s="1470" t="s">
        <v>11</v>
      </c>
      <c r="B5" s="1471"/>
      <c r="C5" s="1471"/>
      <c r="D5" s="3528" t="s">
        <v>357</v>
      </c>
      <c r="E5" s="3529"/>
      <c r="F5" s="3529"/>
      <c r="G5" s="3529"/>
      <c r="H5" s="3529"/>
      <c r="I5" s="3529"/>
      <c r="J5" s="3529"/>
      <c r="K5" s="3529"/>
      <c r="L5" s="3529"/>
      <c r="M5" s="3529"/>
      <c r="N5" s="3529"/>
      <c r="O5" s="3529"/>
      <c r="P5" s="3529"/>
      <c r="Q5" s="3529"/>
      <c r="R5" s="3529"/>
      <c r="S5" s="3530"/>
      <c r="T5" s="828"/>
      <c r="U5" s="1473"/>
      <c r="V5" s="828"/>
      <c r="W5" s="1474"/>
      <c r="X5" s="1468"/>
      <c r="Y5" s="1468"/>
      <c r="Z5" s="1468"/>
    </row>
    <row r="6" spans="1:70" s="1469" customFormat="1" ht="24" customHeight="1">
      <c r="A6" s="1470" t="s">
        <v>16</v>
      </c>
      <c r="B6" s="1471"/>
      <c r="C6" s="1471"/>
      <c r="D6" s="3528" t="s">
        <v>12</v>
      </c>
      <c r="E6" s="3529"/>
      <c r="F6" s="3529"/>
      <c r="G6" s="3529"/>
      <c r="H6" s="3529"/>
      <c r="I6" s="3529"/>
      <c r="J6" s="3529"/>
      <c r="K6" s="3529"/>
      <c r="L6" s="3529"/>
      <c r="M6" s="3529"/>
      <c r="N6" s="3529"/>
      <c r="O6" s="3529"/>
      <c r="P6" s="3529"/>
      <c r="Q6" s="3529"/>
      <c r="R6" s="3529"/>
      <c r="S6" s="3530"/>
      <c r="T6" s="1468"/>
      <c r="U6" s="1468"/>
      <c r="V6" s="1468"/>
      <c r="W6" s="1468"/>
      <c r="X6" s="1468"/>
      <c r="Y6" s="1468"/>
      <c r="Z6" s="1468"/>
    </row>
    <row r="7" spans="1:70" s="1469" customFormat="1" ht="24" customHeight="1">
      <c r="A7" s="1470" t="s">
        <v>9</v>
      </c>
      <c r="B7" s="1471"/>
      <c r="C7" s="1472"/>
      <c r="D7" s="3528" t="s">
        <v>358</v>
      </c>
      <c r="E7" s="3529"/>
      <c r="F7" s="3529"/>
      <c r="G7" s="3529"/>
      <c r="H7" s="3529"/>
      <c r="I7" s="3529"/>
      <c r="J7" s="3529"/>
      <c r="K7" s="3529"/>
      <c r="L7" s="3529"/>
      <c r="M7" s="3529"/>
      <c r="N7" s="3529"/>
      <c r="O7" s="3529"/>
      <c r="P7" s="3529"/>
      <c r="Q7" s="3529"/>
      <c r="R7" s="3529"/>
      <c r="S7" s="3530"/>
      <c r="T7" s="1468"/>
      <c r="U7" s="1468"/>
      <c r="V7" s="1468"/>
      <c r="W7" s="1468"/>
      <c r="X7" s="1468"/>
      <c r="Y7" s="1468"/>
      <c r="Z7" s="1468"/>
      <c r="AU7" s="1475"/>
    </row>
    <row r="8" spans="1:70" s="1469" customFormat="1" ht="24" customHeight="1">
      <c r="A8" s="3540" t="s">
        <v>71</v>
      </c>
      <c r="B8" s="3541"/>
      <c r="C8" s="3542"/>
      <c r="D8" s="3531"/>
      <c r="E8" s="3532"/>
      <c r="F8" s="3532"/>
      <c r="G8" s="3532"/>
      <c r="H8" s="3532"/>
      <c r="I8" s="3532"/>
      <c r="J8" s="3532"/>
      <c r="K8" s="3532"/>
      <c r="L8" s="3532"/>
      <c r="M8" s="3532"/>
      <c r="N8" s="3532"/>
      <c r="O8" s="3532"/>
      <c r="P8" s="3532"/>
      <c r="Q8" s="3532"/>
      <c r="R8" s="3532"/>
      <c r="S8" s="3533"/>
      <c r="T8" s="1468"/>
      <c r="U8" s="1468"/>
      <c r="V8" s="1468"/>
      <c r="W8" s="1468"/>
      <c r="X8" s="1468"/>
      <c r="Y8" s="1468"/>
      <c r="Z8" s="1468"/>
      <c r="AU8" s="1475"/>
    </row>
    <row r="9" spans="1:70" s="1469" customFormat="1" ht="24" customHeight="1">
      <c r="A9" s="3540" t="s">
        <v>72</v>
      </c>
      <c r="B9" s="3541"/>
      <c r="C9" s="3542"/>
      <c r="D9" s="3534" t="s">
        <v>778</v>
      </c>
      <c r="E9" s="3535"/>
      <c r="F9" s="3535"/>
      <c r="G9" s="3535"/>
      <c r="H9" s="3535"/>
      <c r="I9" s="3535"/>
      <c r="J9" s="3535"/>
      <c r="K9" s="3535"/>
      <c r="L9" s="3535"/>
      <c r="M9" s="3535"/>
      <c r="N9" s="3535"/>
      <c r="O9" s="3535"/>
      <c r="P9" s="3535"/>
      <c r="Q9" s="3535"/>
      <c r="R9" s="3535"/>
      <c r="S9" s="3536"/>
      <c r="T9" s="1468"/>
      <c r="U9" s="1468"/>
      <c r="V9" s="1468"/>
      <c r="W9" s="1468"/>
      <c r="X9" s="1468"/>
      <c r="Y9" s="1468"/>
      <c r="Z9" s="1468"/>
      <c r="AU9" s="1475"/>
    </row>
    <row r="10" spans="1:70" s="1469" customFormat="1" ht="24" customHeight="1" thickBot="1">
      <c r="A10" s="1476" t="s">
        <v>21</v>
      </c>
      <c r="B10" s="1477"/>
      <c r="C10" s="1477"/>
      <c r="D10" s="3537"/>
      <c r="E10" s="3538"/>
      <c r="F10" s="3538"/>
      <c r="G10" s="3538"/>
      <c r="H10" s="3538"/>
      <c r="I10" s="3538"/>
      <c r="J10" s="3538"/>
      <c r="K10" s="3538"/>
      <c r="L10" s="3538"/>
      <c r="M10" s="3538"/>
      <c r="N10" s="3538"/>
      <c r="O10" s="3538"/>
      <c r="P10" s="3538"/>
      <c r="Q10" s="3538"/>
      <c r="R10" s="3538"/>
      <c r="S10" s="3539"/>
      <c r="T10" s="1468"/>
      <c r="U10" s="1468"/>
      <c r="V10" s="1468"/>
      <c r="W10" s="1468"/>
      <c r="X10" s="1468"/>
      <c r="Y10" s="1468"/>
      <c r="Z10" s="1468"/>
    </row>
    <row r="11" spans="1:70" ht="25.5" customHeight="1" thickBot="1">
      <c r="A11" s="828"/>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row>
    <row r="12" spans="1:70" ht="16.5" thickBot="1">
      <c r="A12" s="3522" t="s">
        <v>359</v>
      </c>
      <c r="B12" s="3523"/>
      <c r="C12" s="3523"/>
      <c r="D12" s="3523"/>
      <c r="E12" s="3523"/>
      <c r="F12" s="3523"/>
      <c r="G12" s="3523"/>
      <c r="H12" s="3523"/>
      <c r="I12" s="3523"/>
      <c r="J12" s="3523"/>
      <c r="K12" s="3523"/>
      <c r="L12" s="3523"/>
      <c r="M12" s="3523"/>
      <c r="N12" s="3523"/>
      <c r="O12" s="3523"/>
      <c r="P12" s="3523"/>
      <c r="Q12" s="3523"/>
      <c r="R12" s="3523"/>
      <c r="S12" s="3524"/>
      <c r="T12" s="828"/>
      <c r="U12" s="828"/>
      <c r="V12" s="828"/>
      <c r="W12" s="828"/>
      <c r="X12" s="828"/>
      <c r="Y12" s="828"/>
      <c r="Z12" s="828"/>
    </row>
    <row r="13" spans="1:70" s="828" customFormat="1" ht="60.75" thickBot="1">
      <c r="A13" s="1478" t="s">
        <v>361</v>
      </c>
      <c r="B13" s="1479" t="s">
        <v>362</v>
      </c>
      <c r="C13" s="1479" t="s">
        <v>757</v>
      </c>
      <c r="D13" s="1480" t="s">
        <v>601</v>
      </c>
      <c r="E13" s="1480" t="s">
        <v>363</v>
      </c>
      <c r="F13" s="1480" t="s">
        <v>758</v>
      </c>
      <c r="G13" s="1480" t="s">
        <v>759</v>
      </c>
      <c r="H13" s="1480" t="s">
        <v>832</v>
      </c>
      <c r="I13" s="1480" t="s">
        <v>635</v>
      </c>
      <c r="J13" s="1481" t="s">
        <v>779</v>
      </c>
      <c r="K13" s="1481" t="s">
        <v>364</v>
      </c>
      <c r="L13" s="1481" t="s">
        <v>636</v>
      </c>
      <c r="M13" s="1481" t="s">
        <v>760</v>
      </c>
      <c r="N13" s="1481" t="s">
        <v>203</v>
      </c>
      <c r="O13" s="1481" t="s">
        <v>755</v>
      </c>
      <c r="P13" s="1481" t="s">
        <v>426</v>
      </c>
      <c r="Q13" s="1481" t="s">
        <v>756</v>
      </c>
      <c r="R13" s="1483" t="s">
        <v>365</v>
      </c>
      <c r="S13" s="1478" t="s">
        <v>214</v>
      </c>
    </row>
    <row r="14" spans="1:70" hidden="1">
      <c r="A14" s="1484">
        <v>41640</v>
      </c>
      <c r="B14" s="1485">
        <v>7</v>
      </c>
      <c r="C14" s="1486"/>
      <c r="D14" s="1487"/>
      <c r="E14" s="1488"/>
      <c r="F14" s="1485"/>
      <c r="G14" s="1486"/>
      <c r="H14" s="1486"/>
      <c r="I14" s="1489"/>
      <c r="J14" s="1489"/>
      <c r="K14" s="1489"/>
      <c r="L14" s="1487"/>
      <c r="M14" s="1486"/>
      <c r="N14" s="1486"/>
      <c r="O14" s="1486"/>
      <c r="P14" s="1486"/>
      <c r="Q14" s="1486"/>
      <c r="R14" s="1486"/>
      <c r="S14" s="1490">
        <f t="shared" ref="S14:S25" si="0">SUM(B14:R14)</f>
        <v>7</v>
      </c>
      <c r="T14" s="1005"/>
      <c r="V14" s="828"/>
      <c r="W14" s="828"/>
      <c r="X14" s="828"/>
      <c r="Y14" s="828"/>
      <c r="Z14" s="828"/>
      <c r="AA14" s="828"/>
      <c r="AB14" s="828"/>
      <c r="BR14" s="1007"/>
    </row>
    <row r="15" spans="1:70" hidden="1">
      <c r="A15" s="1493">
        <v>41671</v>
      </c>
      <c r="B15" s="996">
        <v>8</v>
      </c>
      <c r="C15" s="997">
        <v>1</v>
      </c>
      <c r="D15" s="998">
        <v>8</v>
      </c>
      <c r="E15" s="1494"/>
      <c r="F15" s="996"/>
      <c r="G15" s="997"/>
      <c r="H15" s="997"/>
      <c r="I15" s="1495">
        <v>2</v>
      </c>
      <c r="J15" s="1495"/>
      <c r="K15" s="1495"/>
      <c r="L15" s="998"/>
      <c r="M15" s="997"/>
      <c r="N15" s="997"/>
      <c r="O15" s="997"/>
      <c r="P15" s="997"/>
      <c r="Q15" s="997"/>
      <c r="R15" s="997"/>
      <c r="S15" s="1496">
        <f t="shared" si="0"/>
        <v>19</v>
      </c>
      <c r="T15" s="1005"/>
      <c r="V15" s="828"/>
      <c r="W15" s="828"/>
      <c r="X15" s="828"/>
      <c r="Y15" s="828"/>
      <c r="Z15" s="828"/>
      <c r="AA15" s="828"/>
      <c r="AB15" s="828"/>
      <c r="BR15" s="1007"/>
    </row>
    <row r="16" spans="1:70" hidden="1">
      <c r="A16" s="1493">
        <v>41699</v>
      </c>
      <c r="B16" s="996">
        <v>24</v>
      </c>
      <c r="C16" s="997">
        <v>1</v>
      </c>
      <c r="D16" s="998">
        <v>3</v>
      </c>
      <c r="E16" s="1494">
        <v>1</v>
      </c>
      <c r="F16" s="996"/>
      <c r="G16" s="997"/>
      <c r="H16" s="997"/>
      <c r="I16" s="1495"/>
      <c r="J16" s="1495"/>
      <c r="K16" s="1495"/>
      <c r="L16" s="998"/>
      <c r="M16" s="997">
        <v>2</v>
      </c>
      <c r="N16" s="997"/>
      <c r="O16" s="997"/>
      <c r="P16" s="997"/>
      <c r="Q16" s="997"/>
      <c r="R16" s="997"/>
      <c r="S16" s="1496">
        <f t="shared" si="0"/>
        <v>31</v>
      </c>
      <c r="T16" s="1005"/>
      <c r="V16" s="828"/>
      <c r="W16" s="828"/>
      <c r="X16" s="828"/>
      <c r="Y16" s="828"/>
      <c r="Z16" s="828"/>
      <c r="AA16" s="828"/>
      <c r="AB16" s="828"/>
      <c r="BR16" s="1007"/>
    </row>
    <row r="17" spans="1:70" hidden="1">
      <c r="A17" s="1493">
        <v>41730</v>
      </c>
      <c r="B17" s="996">
        <v>10</v>
      </c>
      <c r="C17" s="997"/>
      <c r="D17" s="998">
        <v>2</v>
      </c>
      <c r="E17" s="1494"/>
      <c r="F17" s="996">
        <v>1</v>
      </c>
      <c r="G17" s="997">
        <v>3</v>
      </c>
      <c r="H17" s="997"/>
      <c r="I17" s="1495"/>
      <c r="J17" s="1495"/>
      <c r="K17" s="1495"/>
      <c r="L17" s="998"/>
      <c r="M17" s="997">
        <v>1</v>
      </c>
      <c r="N17" s="997"/>
      <c r="O17" s="997"/>
      <c r="P17" s="997"/>
      <c r="Q17" s="997"/>
      <c r="R17" s="997"/>
      <c r="S17" s="1496">
        <f t="shared" si="0"/>
        <v>17</v>
      </c>
      <c r="T17" s="1005"/>
      <c r="V17" s="828"/>
      <c r="W17" s="828"/>
      <c r="X17" s="828"/>
      <c r="Y17" s="828"/>
      <c r="Z17" s="828"/>
      <c r="AA17" s="828"/>
      <c r="AB17" s="828"/>
      <c r="BR17" s="1007"/>
    </row>
    <row r="18" spans="1:70" hidden="1">
      <c r="A18" s="1493">
        <v>41760</v>
      </c>
      <c r="B18" s="996">
        <v>9</v>
      </c>
      <c r="C18" s="997"/>
      <c r="D18" s="998">
        <v>3</v>
      </c>
      <c r="E18" s="1494"/>
      <c r="F18" s="996">
        <v>3</v>
      </c>
      <c r="G18" s="997"/>
      <c r="H18" s="997"/>
      <c r="I18" s="1495"/>
      <c r="J18" s="1495"/>
      <c r="K18" s="1495"/>
      <c r="L18" s="998"/>
      <c r="M18" s="997"/>
      <c r="N18" s="997"/>
      <c r="O18" s="997"/>
      <c r="P18" s="997"/>
      <c r="Q18" s="997"/>
      <c r="R18" s="997"/>
      <c r="S18" s="1496">
        <f t="shared" si="0"/>
        <v>15</v>
      </c>
      <c r="T18" s="1005"/>
      <c r="V18" s="1005"/>
      <c r="W18" s="828"/>
      <c r="X18" s="828"/>
      <c r="Y18" s="828"/>
      <c r="Z18" s="828"/>
      <c r="AA18" s="828"/>
      <c r="AB18" s="828"/>
      <c r="BR18" s="1007"/>
    </row>
    <row r="19" spans="1:70" hidden="1">
      <c r="A19" s="1493">
        <v>41791</v>
      </c>
      <c r="B19" s="996">
        <v>17</v>
      </c>
      <c r="C19" s="997"/>
      <c r="D19" s="998">
        <v>6</v>
      </c>
      <c r="E19" s="998"/>
      <c r="F19" s="996">
        <v>4</v>
      </c>
      <c r="G19" s="997">
        <v>3</v>
      </c>
      <c r="H19" s="997"/>
      <c r="I19" s="1495">
        <v>3</v>
      </c>
      <c r="J19" s="1495"/>
      <c r="K19" s="1495"/>
      <c r="L19" s="998"/>
      <c r="M19" s="997"/>
      <c r="N19" s="997"/>
      <c r="O19" s="997"/>
      <c r="P19" s="997"/>
      <c r="Q19" s="997"/>
      <c r="R19" s="997"/>
      <c r="S19" s="1496">
        <f t="shared" si="0"/>
        <v>33</v>
      </c>
      <c r="T19" s="1005"/>
      <c r="V19" s="1005"/>
      <c r="W19" s="828"/>
      <c r="X19" s="828"/>
      <c r="Y19" s="828"/>
      <c r="Z19" s="828"/>
      <c r="AA19" s="828"/>
      <c r="AB19" s="828"/>
      <c r="BR19" s="1007"/>
    </row>
    <row r="20" spans="1:70" hidden="1">
      <c r="A20" s="1493">
        <v>41821</v>
      </c>
      <c r="B20" s="996">
        <v>14</v>
      </c>
      <c r="C20" s="997"/>
      <c r="D20" s="998">
        <v>5</v>
      </c>
      <c r="E20" s="998"/>
      <c r="F20" s="996">
        <v>3</v>
      </c>
      <c r="G20" s="997"/>
      <c r="H20" s="997"/>
      <c r="I20" s="1495"/>
      <c r="J20" s="1495"/>
      <c r="K20" s="1495"/>
      <c r="L20" s="998"/>
      <c r="M20" s="997"/>
      <c r="N20" s="997"/>
      <c r="O20" s="997"/>
      <c r="P20" s="997"/>
      <c r="Q20" s="997"/>
      <c r="R20" s="997"/>
      <c r="S20" s="1496">
        <f t="shared" si="0"/>
        <v>22</v>
      </c>
      <c r="T20" s="1005"/>
      <c r="V20" s="1005"/>
      <c r="W20" s="828"/>
      <c r="X20" s="828"/>
      <c r="Y20" s="828"/>
      <c r="Z20" s="828"/>
      <c r="AA20" s="828"/>
      <c r="AB20" s="828"/>
      <c r="BR20" s="1007"/>
    </row>
    <row r="21" spans="1:70" hidden="1">
      <c r="A21" s="1493">
        <v>41852</v>
      </c>
      <c r="B21" s="996">
        <v>10</v>
      </c>
      <c r="C21" s="997"/>
      <c r="D21" s="998">
        <v>3</v>
      </c>
      <c r="E21" s="998"/>
      <c r="F21" s="996">
        <v>4</v>
      </c>
      <c r="G21" s="997">
        <v>1</v>
      </c>
      <c r="H21" s="997"/>
      <c r="I21" s="1495"/>
      <c r="J21" s="1495"/>
      <c r="K21" s="1495"/>
      <c r="L21" s="998"/>
      <c r="M21" s="997">
        <v>1</v>
      </c>
      <c r="N21" s="997"/>
      <c r="O21" s="997"/>
      <c r="P21" s="997"/>
      <c r="Q21" s="997"/>
      <c r="R21" s="997"/>
      <c r="S21" s="1496">
        <f t="shared" si="0"/>
        <v>19</v>
      </c>
      <c r="T21" s="1005"/>
      <c r="V21" s="1005"/>
      <c r="W21" s="828"/>
      <c r="X21" s="828"/>
      <c r="Y21" s="828"/>
      <c r="Z21" s="828"/>
      <c r="AA21" s="828"/>
      <c r="AB21" s="828"/>
      <c r="BR21" s="1007"/>
    </row>
    <row r="22" spans="1:70" hidden="1">
      <c r="A22" s="1493">
        <v>41883</v>
      </c>
      <c r="B22" s="996">
        <v>22</v>
      </c>
      <c r="C22" s="997">
        <v>2</v>
      </c>
      <c r="D22" s="998">
        <v>1</v>
      </c>
      <c r="E22" s="998"/>
      <c r="F22" s="996"/>
      <c r="G22" s="997">
        <v>1</v>
      </c>
      <c r="H22" s="997"/>
      <c r="I22" s="1495"/>
      <c r="J22" s="1495"/>
      <c r="K22" s="1495"/>
      <c r="L22" s="998"/>
      <c r="M22" s="997">
        <v>1</v>
      </c>
      <c r="N22" s="997"/>
      <c r="O22" s="997"/>
      <c r="P22" s="997"/>
      <c r="Q22" s="997"/>
      <c r="R22" s="997"/>
      <c r="S22" s="1496">
        <f t="shared" si="0"/>
        <v>27</v>
      </c>
      <c r="T22" s="1005"/>
      <c r="V22" s="1005"/>
      <c r="W22" s="828"/>
      <c r="X22" s="828"/>
      <c r="Y22" s="828"/>
      <c r="Z22" s="828"/>
      <c r="AA22" s="828"/>
      <c r="AB22" s="828"/>
      <c r="BR22" s="1007"/>
    </row>
    <row r="23" spans="1:70" hidden="1">
      <c r="A23" s="1493">
        <v>41913</v>
      </c>
      <c r="B23" s="996">
        <v>8</v>
      </c>
      <c r="C23" s="997"/>
      <c r="D23" s="998">
        <v>8</v>
      </c>
      <c r="E23" s="998"/>
      <c r="F23" s="996">
        <v>3</v>
      </c>
      <c r="G23" s="997">
        <v>2</v>
      </c>
      <c r="H23" s="997"/>
      <c r="I23" s="1495"/>
      <c r="J23" s="1495"/>
      <c r="K23" s="1495"/>
      <c r="L23" s="998"/>
      <c r="M23" s="997"/>
      <c r="N23" s="997"/>
      <c r="O23" s="997"/>
      <c r="P23" s="997"/>
      <c r="Q23" s="997"/>
      <c r="R23" s="997"/>
      <c r="S23" s="1496">
        <f t="shared" si="0"/>
        <v>21</v>
      </c>
      <c r="T23" s="1005"/>
      <c r="V23" s="1005"/>
      <c r="W23" s="828"/>
      <c r="X23" s="828"/>
      <c r="Y23" s="828"/>
      <c r="Z23" s="828"/>
      <c r="AA23" s="828"/>
      <c r="AB23" s="828"/>
      <c r="BR23" s="1007"/>
    </row>
    <row r="24" spans="1:70" hidden="1">
      <c r="A24" s="1493">
        <v>41944</v>
      </c>
      <c r="B24" s="996">
        <v>10</v>
      </c>
      <c r="C24" s="997">
        <v>1</v>
      </c>
      <c r="D24" s="998">
        <v>5</v>
      </c>
      <c r="E24" s="998"/>
      <c r="F24" s="996">
        <v>2</v>
      </c>
      <c r="G24" s="997"/>
      <c r="H24" s="997"/>
      <c r="I24" s="1495"/>
      <c r="J24" s="1495"/>
      <c r="K24" s="1495"/>
      <c r="L24" s="998"/>
      <c r="M24" s="997"/>
      <c r="N24" s="997"/>
      <c r="O24" s="997"/>
      <c r="P24" s="997"/>
      <c r="Q24" s="997"/>
      <c r="R24" s="997"/>
      <c r="S24" s="1496">
        <f t="shared" si="0"/>
        <v>18</v>
      </c>
      <c r="T24" s="1005"/>
      <c r="V24" s="1005"/>
      <c r="W24" s="828"/>
      <c r="X24" s="828"/>
      <c r="Y24" s="828"/>
      <c r="Z24" s="828"/>
      <c r="AA24" s="828"/>
      <c r="AB24" s="828"/>
      <c r="BR24" s="1007"/>
    </row>
    <row r="25" spans="1:70" ht="15.75" hidden="1" thickBot="1">
      <c r="A25" s="1150">
        <v>41974</v>
      </c>
      <c r="B25" s="1498">
        <v>11</v>
      </c>
      <c r="C25" s="1151"/>
      <c r="D25" s="1152">
        <v>4</v>
      </c>
      <c r="E25" s="1152"/>
      <c r="F25" s="1498">
        <v>1</v>
      </c>
      <c r="G25" s="1151">
        <v>2</v>
      </c>
      <c r="H25" s="1151"/>
      <c r="I25" s="1499">
        <v>1</v>
      </c>
      <c r="J25" s="1499"/>
      <c r="K25" s="1499"/>
      <c r="L25" s="1152"/>
      <c r="M25" s="1151"/>
      <c r="N25" s="1151"/>
      <c r="O25" s="1151"/>
      <c r="P25" s="1151"/>
      <c r="Q25" s="1151"/>
      <c r="R25" s="1151"/>
      <c r="S25" s="1500">
        <f t="shared" si="0"/>
        <v>19</v>
      </c>
      <c r="T25" s="1005"/>
      <c r="V25" s="1005"/>
      <c r="W25" s="828"/>
      <c r="X25" s="828"/>
      <c r="Y25" s="828"/>
      <c r="Z25" s="828"/>
      <c r="AA25" s="828"/>
      <c r="AB25" s="828"/>
      <c r="BR25" s="1007"/>
    </row>
    <row r="26" spans="1:70" ht="15.75" hidden="1">
      <c r="A26" s="1484">
        <v>42005</v>
      </c>
      <c r="B26" s="1485">
        <v>5</v>
      </c>
      <c r="C26" s="1486">
        <v>1</v>
      </c>
      <c r="D26" s="1487">
        <v>2</v>
      </c>
      <c r="E26" s="1487"/>
      <c r="F26" s="1485">
        <v>1</v>
      </c>
      <c r="G26" s="1486">
        <v>1</v>
      </c>
      <c r="H26" s="1486"/>
      <c r="I26" s="1489">
        <v>0</v>
      </c>
      <c r="J26" s="1489"/>
      <c r="K26" s="1489"/>
      <c r="L26" s="1487">
        <v>0</v>
      </c>
      <c r="M26" s="1486">
        <v>0</v>
      </c>
      <c r="N26" s="1486"/>
      <c r="O26" s="1486"/>
      <c r="P26" s="1486"/>
      <c r="Q26" s="1486"/>
      <c r="R26" s="1486"/>
      <c r="S26" s="2502">
        <f t="shared" ref="S26:S66" si="1">SUM(B26:R26)</f>
        <v>10</v>
      </c>
      <c r="T26" s="1005"/>
      <c r="V26" s="1005"/>
      <c r="W26" s="828"/>
      <c r="X26" s="828"/>
      <c r="Y26" s="828"/>
      <c r="Z26" s="828"/>
      <c r="AA26" s="828"/>
      <c r="AB26" s="828"/>
      <c r="BR26" s="1007"/>
    </row>
    <row r="27" spans="1:70" ht="15.75" hidden="1">
      <c r="A27" s="1493">
        <v>42036</v>
      </c>
      <c r="B27" s="996">
        <v>13</v>
      </c>
      <c r="C27" s="997">
        <v>1</v>
      </c>
      <c r="D27" s="998">
        <v>0</v>
      </c>
      <c r="E27" s="996"/>
      <c r="F27" s="998">
        <v>0</v>
      </c>
      <c r="G27" s="997">
        <v>2</v>
      </c>
      <c r="H27" s="997"/>
      <c r="I27" s="1495">
        <v>0</v>
      </c>
      <c r="J27" s="1495"/>
      <c r="K27" s="1495"/>
      <c r="L27" s="998">
        <v>0</v>
      </c>
      <c r="M27" s="997">
        <v>0</v>
      </c>
      <c r="N27" s="997"/>
      <c r="O27" s="997"/>
      <c r="P27" s="997"/>
      <c r="Q27" s="997"/>
      <c r="R27" s="997"/>
      <c r="S27" s="1501">
        <f t="shared" si="1"/>
        <v>16</v>
      </c>
      <c r="T27" s="1005"/>
      <c r="V27" s="1005"/>
      <c r="W27" s="828"/>
      <c r="X27" s="828"/>
      <c r="Y27" s="828"/>
      <c r="Z27" s="828"/>
      <c r="AA27" s="828"/>
      <c r="AB27" s="828"/>
      <c r="BR27" s="1007"/>
    </row>
    <row r="28" spans="1:70" ht="15.75" hidden="1">
      <c r="A28" s="1493">
        <v>42064</v>
      </c>
      <c r="B28" s="995">
        <v>19</v>
      </c>
      <c r="C28" s="1004">
        <v>1</v>
      </c>
      <c r="D28" s="1494">
        <v>1</v>
      </c>
      <c r="E28" s="1004"/>
      <c r="F28" s="1494">
        <v>1</v>
      </c>
      <c r="G28" s="999">
        <v>2</v>
      </c>
      <c r="H28" s="999"/>
      <c r="I28" s="1495">
        <v>0</v>
      </c>
      <c r="J28" s="1495"/>
      <c r="K28" s="1495"/>
      <c r="L28" s="1494">
        <v>0</v>
      </c>
      <c r="M28" s="999">
        <v>2</v>
      </c>
      <c r="N28" s="999"/>
      <c r="O28" s="999"/>
      <c r="P28" s="999"/>
      <c r="Q28" s="999"/>
      <c r="R28" s="999"/>
      <c r="S28" s="1501">
        <f t="shared" si="1"/>
        <v>26</v>
      </c>
      <c r="T28" s="1005"/>
      <c r="V28" s="1005"/>
      <c r="W28" s="828"/>
      <c r="X28" s="828"/>
      <c r="Y28" s="828"/>
      <c r="Z28" s="828"/>
      <c r="AA28" s="828"/>
      <c r="AB28" s="828"/>
      <c r="BR28" s="1007"/>
    </row>
    <row r="29" spans="1:70" ht="15.75" hidden="1">
      <c r="A29" s="1493">
        <v>42095</v>
      </c>
      <c r="B29" s="995">
        <v>9</v>
      </c>
      <c r="C29" s="1004">
        <v>0</v>
      </c>
      <c r="D29" s="1494">
        <v>3</v>
      </c>
      <c r="E29" s="1004"/>
      <c r="F29" s="1494">
        <v>0</v>
      </c>
      <c r="G29" s="999">
        <v>0</v>
      </c>
      <c r="H29" s="999"/>
      <c r="I29" s="1495"/>
      <c r="J29" s="1495"/>
      <c r="K29" s="1495"/>
      <c r="L29" s="1494"/>
      <c r="M29" s="999">
        <v>1</v>
      </c>
      <c r="N29" s="999"/>
      <c r="O29" s="999"/>
      <c r="P29" s="999"/>
      <c r="Q29" s="999"/>
      <c r="R29" s="999"/>
      <c r="S29" s="1501">
        <f t="shared" si="1"/>
        <v>13</v>
      </c>
      <c r="T29" s="1005"/>
      <c r="V29" s="1005"/>
      <c r="W29" s="828"/>
      <c r="X29" s="828"/>
      <c r="Y29" s="828"/>
      <c r="Z29" s="828"/>
      <c r="AA29" s="828"/>
      <c r="AB29" s="828"/>
      <c r="BR29" s="1007"/>
    </row>
    <row r="30" spans="1:70" ht="15.75" hidden="1">
      <c r="A30" s="1493">
        <v>42125</v>
      </c>
      <c r="B30" s="995">
        <v>14</v>
      </c>
      <c r="C30" s="1004"/>
      <c r="D30" s="1494">
        <v>1</v>
      </c>
      <c r="E30" s="1004"/>
      <c r="F30" s="1494">
        <v>2</v>
      </c>
      <c r="G30" s="999">
        <v>1</v>
      </c>
      <c r="H30" s="999"/>
      <c r="I30" s="1495"/>
      <c r="J30" s="1495"/>
      <c r="K30" s="1495"/>
      <c r="L30" s="1494">
        <v>0</v>
      </c>
      <c r="M30" s="999"/>
      <c r="N30" s="999"/>
      <c r="O30" s="999"/>
      <c r="P30" s="999"/>
      <c r="Q30" s="999"/>
      <c r="R30" s="999"/>
      <c r="S30" s="1501">
        <f t="shared" si="1"/>
        <v>18</v>
      </c>
      <c r="T30" s="1005"/>
      <c r="V30" s="1005"/>
      <c r="W30" s="828"/>
      <c r="X30" s="828"/>
      <c r="Y30" s="828"/>
      <c r="Z30" s="828"/>
      <c r="AA30" s="828"/>
      <c r="AB30" s="828"/>
      <c r="BR30" s="1007"/>
    </row>
    <row r="31" spans="1:70" ht="15.75" hidden="1">
      <c r="A31" s="1493">
        <v>42156</v>
      </c>
      <c r="B31" s="995">
        <v>14</v>
      </c>
      <c r="C31" s="996"/>
      <c r="D31" s="998">
        <v>8</v>
      </c>
      <c r="E31" s="996"/>
      <c r="F31" s="998">
        <v>1</v>
      </c>
      <c r="G31" s="997">
        <v>1</v>
      </c>
      <c r="H31" s="997"/>
      <c r="I31" s="1495"/>
      <c r="J31" s="1495"/>
      <c r="K31" s="1495"/>
      <c r="L31" s="998">
        <v>3</v>
      </c>
      <c r="M31" s="997"/>
      <c r="N31" s="997"/>
      <c r="O31" s="997"/>
      <c r="P31" s="997"/>
      <c r="Q31" s="997"/>
      <c r="R31" s="997"/>
      <c r="S31" s="1501">
        <f t="shared" si="1"/>
        <v>27</v>
      </c>
      <c r="T31" s="1005"/>
      <c r="V31" s="1005"/>
      <c r="W31" s="828"/>
      <c r="X31" s="828"/>
      <c r="Y31" s="828"/>
      <c r="Z31" s="828"/>
      <c r="AA31" s="828"/>
      <c r="AB31" s="828"/>
      <c r="BR31" s="1007"/>
    </row>
    <row r="32" spans="1:70" ht="15.75" hidden="1">
      <c r="A32" s="1493">
        <v>42186</v>
      </c>
      <c r="B32" s="995">
        <v>16</v>
      </c>
      <c r="C32" s="1004"/>
      <c r="D32" s="1494">
        <v>10</v>
      </c>
      <c r="E32" s="1004"/>
      <c r="F32" s="1494">
        <v>2</v>
      </c>
      <c r="G32" s="999">
        <v>1</v>
      </c>
      <c r="H32" s="999"/>
      <c r="I32" s="1495"/>
      <c r="J32" s="1495"/>
      <c r="K32" s="1495"/>
      <c r="L32" s="1494"/>
      <c r="M32" s="999"/>
      <c r="N32" s="999">
        <v>3</v>
      </c>
      <c r="O32" s="999"/>
      <c r="P32" s="999"/>
      <c r="Q32" s="999"/>
      <c r="R32" s="999"/>
      <c r="S32" s="1501">
        <f t="shared" si="1"/>
        <v>32</v>
      </c>
      <c r="T32" s="1005"/>
      <c r="V32" s="1005"/>
      <c r="W32" s="828"/>
      <c r="X32" s="828"/>
      <c r="Y32" s="828"/>
      <c r="Z32" s="828"/>
      <c r="AA32" s="828"/>
      <c r="AB32" s="828"/>
      <c r="BR32" s="1007"/>
    </row>
    <row r="33" spans="1:70" ht="15.75" hidden="1">
      <c r="A33" s="1493">
        <v>42217</v>
      </c>
      <c r="B33" s="995">
        <v>10</v>
      </c>
      <c r="C33" s="996"/>
      <c r="D33" s="998">
        <v>1</v>
      </c>
      <c r="E33" s="996"/>
      <c r="F33" s="998"/>
      <c r="G33" s="997">
        <v>3</v>
      </c>
      <c r="H33" s="997"/>
      <c r="I33" s="1495"/>
      <c r="J33" s="1495"/>
      <c r="K33" s="1495"/>
      <c r="L33" s="998"/>
      <c r="M33" s="997">
        <v>1</v>
      </c>
      <c r="N33" s="997"/>
      <c r="O33" s="997"/>
      <c r="P33" s="997"/>
      <c r="Q33" s="997"/>
      <c r="R33" s="997"/>
      <c r="S33" s="1501">
        <f t="shared" si="1"/>
        <v>15</v>
      </c>
      <c r="T33" s="1005"/>
      <c r="V33" s="1005"/>
      <c r="W33" s="828"/>
      <c r="X33" s="828"/>
      <c r="Y33" s="828"/>
      <c r="Z33" s="828"/>
      <c r="AA33" s="828"/>
      <c r="AB33" s="828"/>
      <c r="BR33" s="1007"/>
    </row>
    <row r="34" spans="1:70" ht="15.75" hidden="1">
      <c r="A34" s="1493">
        <v>42248</v>
      </c>
      <c r="B34" s="995">
        <v>8</v>
      </c>
      <c r="C34" s="996"/>
      <c r="D34" s="998">
        <v>1</v>
      </c>
      <c r="E34" s="996"/>
      <c r="F34" s="998">
        <v>1</v>
      </c>
      <c r="G34" s="997">
        <v>2</v>
      </c>
      <c r="H34" s="997"/>
      <c r="I34" s="1495"/>
      <c r="J34" s="1495"/>
      <c r="K34" s="1495"/>
      <c r="L34" s="998"/>
      <c r="M34" s="997"/>
      <c r="N34" s="997"/>
      <c r="O34" s="997"/>
      <c r="P34" s="997"/>
      <c r="Q34" s="997"/>
      <c r="R34" s="997"/>
      <c r="S34" s="1501">
        <f t="shared" si="1"/>
        <v>12</v>
      </c>
      <c r="T34" s="1005"/>
      <c r="V34" s="1005"/>
      <c r="W34" s="828"/>
      <c r="X34" s="828"/>
      <c r="Y34" s="828"/>
      <c r="Z34" s="828"/>
      <c r="AA34" s="828"/>
      <c r="AB34" s="828"/>
      <c r="BR34" s="1007"/>
    </row>
    <row r="35" spans="1:70" ht="15.75" hidden="1">
      <c r="A35" s="1493">
        <v>42278</v>
      </c>
      <c r="B35" s="995">
        <v>3</v>
      </c>
      <c r="C35" s="996"/>
      <c r="D35" s="998"/>
      <c r="E35" s="996"/>
      <c r="F35" s="998">
        <v>1</v>
      </c>
      <c r="G35" s="997">
        <v>1</v>
      </c>
      <c r="H35" s="997"/>
      <c r="I35" s="1495"/>
      <c r="J35" s="1495"/>
      <c r="K35" s="1495"/>
      <c r="L35" s="998"/>
      <c r="M35" s="997"/>
      <c r="N35" s="997"/>
      <c r="O35" s="997"/>
      <c r="P35" s="997"/>
      <c r="Q35" s="997"/>
      <c r="R35" s="997"/>
      <c r="S35" s="1501">
        <f t="shared" si="1"/>
        <v>5</v>
      </c>
      <c r="T35" s="1005"/>
      <c r="V35" s="1005"/>
      <c r="W35" s="828"/>
      <c r="X35" s="828"/>
      <c r="Y35" s="828"/>
      <c r="Z35" s="828"/>
      <c r="AA35" s="828"/>
      <c r="AB35" s="828"/>
      <c r="BR35" s="1007"/>
    </row>
    <row r="36" spans="1:70" ht="15.75" hidden="1">
      <c r="A36" s="1493">
        <v>42309</v>
      </c>
      <c r="B36" s="995">
        <v>1</v>
      </c>
      <c r="C36" s="1004"/>
      <c r="D36" s="1494"/>
      <c r="E36" s="1004"/>
      <c r="F36" s="1494"/>
      <c r="G36" s="999"/>
      <c r="H36" s="999"/>
      <c r="I36" s="1495"/>
      <c r="J36" s="1495"/>
      <c r="K36" s="1495"/>
      <c r="L36" s="1494"/>
      <c r="M36" s="999"/>
      <c r="N36" s="999"/>
      <c r="O36" s="999"/>
      <c r="P36" s="999"/>
      <c r="Q36" s="999"/>
      <c r="R36" s="997"/>
      <c r="S36" s="1501">
        <f t="shared" si="1"/>
        <v>1</v>
      </c>
      <c r="T36" s="1005"/>
      <c r="V36" s="1005"/>
      <c r="W36" s="828"/>
      <c r="X36" s="828"/>
      <c r="Y36" s="828"/>
      <c r="Z36" s="828"/>
      <c r="AA36" s="828"/>
      <c r="AB36" s="828"/>
      <c r="BR36" s="1007"/>
    </row>
    <row r="37" spans="1:70" ht="16.5" hidden="1" thickBot="1">
      <c r="A37" s="2503">
        <v>42339</v>
      </c>
      <c r="B37" s="2504">
        <v>12</v>
      </c>
      <c r="C37" s="2510"/>
      <c r="D37" s="2511"/>
      <c r="E37" s="2510"/>
      <c r="F37" s="2511"/>
      <c r="G37" s="2508"/>
      <c r="H37" s="2508"/>
      <c r="I37" s="2512"/>
      <c r="J37" s="2512"/>
      <c r="K37" s="2512"/>
      <c r="L37" s="2511"/>
      <c r="M37" s="2508"/>
      <c r="N37" s="2508"/>
      <c r="O37" s="2508"/>
      <c r="P37" s="2508"/>
      <c r="Q37" s="2508"/>
      <c r="R37" s="2506"/>
      <c r="S37" s="2513">
        <f t="shared" si="1"/>
        <v>12</v>
      </c>
      <c r="T37" s="1005"/>
      <c r="V37" s="1005"/>
      <c r="W37" s="828"/>
      <c r="X37" s="828"/>
      <c r="Y37" s="828"/>
      <c r="Z37" s="828"/>
      <c r="AA37" s="828"/>
      <c r="AB37" s="828"/>
      <c r="BR37" s="1007"/>
    </row>
    <row r="38" spans="1:70" ht="15.75" hidden="1">
      <c r="A38" s="1484">
        <v>42370</v>
      </c>
      <c r="B38" s="1503">
        <v>5</v>
      </c>
      <c r="C38" s="2501"/>
      <c r="D38" s="1488">
        <v>1</v>
      </c>
      <c r="E38" s="2501"/>
      <c r="F38" s="1488"/>
      <c r="G38" s="1504"/>
      <c r="H38" s="1504"/>
      <c r="I38" s="1489"/>
      <c r="J38" s="1489"/>
      <c r="K38" s="1489"/>
      <c r="L38" s="1488"/>
      <c r="M38" s="1504"/>
      <c r="N38" s="1504"/>
      <c r="O38" s="1504"/>
      <c r="P38" s="1504"/>
      <c r="Q38" s="1504"/>
      <c r="R38" s="1486"/>
      <c r="S38" s="2502">
        <f t="shared" si="1"/>
        <v>6</v>
      </c>
      <c r="T38" s="1005"/>
      <c r="V38" s="1005"/>
      <c r="W38" s="828"/>
      <c r="X38" s="828"/>
      <c r="Y38" s="828"/>
      <c r="Z38" s="828"/>
      <c r="AA38" s="828"/>
      <c r="AB38" s="828"/>
      <c r="BR38" s="1007"/>
    </row>
    <row r="39" spans="1:70" ht="15.75" hidden="1">
      <c r="A39" s="1493">
        <v>42401</v>
      </c>
      <c r="B39" s="995">
        <v>5</v>
      </c>
      <c r="C39" s="996"/>
      <c r="D39" s="998"/>
      <c r="E39" s="996"/>
      <c r="F39" s="998"/>
      <c r="G39" s="997"/>
      <c r="H39" s="997"/>
      <c r="I39" s="1495"/>
      <c r="J39" s="1495"/>
      <c r="K39" s="1495"/>
      <c r="L39" s="998"/>
      <c r="M39" s="997"/>
      <c r="N39" s="997"/>
      <c r="O39" s="997"/>
      <c r="P39" s="997"/>
      <c r="Q39" s="997"/>
      <c r="R39" s="997"/>
      <c r="S39" s="1501">
        <f t="shared" si="1"/>
        <v>5</v>
      </c>
      <c r="T39" s="1005"/>
      <c r="V39" s="1005"/>
      <c r="W39" s="828"/>
      <c r="X39" s="828"/>
      <c r="Y39" s="828"/>
      <c r="Z39" s="828"/>
      <c r="AA39" s="828"/>
      <c r="AB39" s="828"/>
      <c r="BR39" s="1007"/>
    </row>
    <row r="40" spans="1:70" ht="15.75" hidden="1">
      <c r="A40" s="1493">
        <v>42430</v>
      </c>
      <c r="B40" s="995">
        <v>8</v>
      </c>
      <c r="C40" s="1004"/>
      <c r="D40" s="1494">
        <v>1</v>
      </c>
      <c r="E40" s="1004">
        <v>1</v>
      </c>
      <c r="F40" s="1494"/>
      <c r="G40" s="999">
        <v>1</v>
      </c>
      <c r="H40" s="999"/>
      <c r="I40" s="1495"/>
      <c r="J40" s="1495"/>
      <c r="K40" s="1495"/>
      <c r="L40" s="1494"/>
      <c r="M40" s="999"/>
      <c r="N40" s="999"/>
      <c r="O40" s="999"/>
      <c r="P40" s="999"/>
      <c r="Q40" s="999"/>
      <c r="R40" s="997"/>
      <c r="S40" s="1501">
        <f t="shared" si="1"/>
        <v>11</v>
      </c>
      <c r="T40" s="1005"/>
      <c r="V40" s="1005"/>
      <c r="W40" s="828"/>
      <c r="X40" s="828"/>
      <c r="Y40" s="828"/>
      <c r="Z40" s="828"/>
      <c r="AA40" s="828"/>
      <c r="AB40" s="828"/>
      <c r="BR40" s="1007"/>
    </row>
    <row r="41" spans="1:70" ht="15.75" hidden="1">
      <c r="A41" s="1493">
        <v>42461</v>
      </c>
      <c r="B41" s="995">
        <v>22</v>
      </c>
      <c r="C41" s="996"/>
      <c r="D41" s="998">
        <v>1</v>
      </c>
      <c r="E41" s="996"/>
      <c r="F41" s="998"/>
      <c r="G41" s="997"/>
      <c r="H41" s="997"/>
      <c r="I41" s="1495"/>
      <c r="J41" s="1495"/>
      <c r="K41" s="1495">
        <v>1</v>
      </c>
      <c r="L41" s="998"/>
      <c r="M41" s="997">
        <v>1</v>
      </c>
      <c r="N41" s="997"/>
      <c r="O41" s="997"/>
      <c r="P41" s="997"/>
      <c r="Q41" s="997"/>
      <c r="R41" s="997"/>
      <c r="S41" s="1501">
        <f t="shared" si="1"/>
        <v>25</v>
      </c>
      <c r="T41" s="1005"/>
      <c r="V41" s="1005"/>
      <c r="W41" s="828"/>
      <c r="X41" s="828"/>
      <c r="Y41" s="828"/>
      <c r="Z41" s="828"/>
      <c r="AA41" s="828"/>
      <c r="AB41" s="828"/>
      <c r="BR41" s="1007"/>
    </row>
    <row r="42" spans="1:70" ht="15.75" hidden="1">
      <c r="A42" s="1493">
        <v>42491</v>
      </c>
      <c r="B42" s="995">
        <v>15</v>
      </c>
      <c r="C42" s="996">
        <v>3</v>
      </c>
      <c r="D42" s="998">
        <v>2</v>
      </c>
      <c r="E42" s="996"/>
      <c r="F42" s="998"/>
      <c r="G42" s="997"/>
      <c r="H42" s="997"/>
      <c r="I42" s="1495"/>
      <c r="J42" s="1495"/>
      <c r="K42" s="1495"/>
      <c r="L42" s="998"/>
      <c r="M42" s="997">
        <v>1</v>
      </c>
      <c r="N42" s="997"/>
      <c r="O42" s="997"/>
      <c r="P42" s="997"/>
      <c r="Q42" s="997"/>
      <c r="R42" s="997"/>
      <c r="S42" s="1501">
        <f t="shared" si="1"/>
        <v>21</v>
      </c>
      <c r="T42" s="1005"/>
      <c r="V42" s="1005"/>
      <c r="W42" s="828"/>
      <c r="X42" s="828"/>
      <c r="Y42" s="828"/>
      <c r="Z42" s="828"/>
      <c r="AA42" s="828"/>
      <c r="AB42" s="828"/>
      <c r="BR42" s="1007"/>
    </row>
    <row r="43" spans="1:70" ht="15.75" hidden="1">
      <c r="A43" s="1493">
        <v>42522</v>
      </c>
      <c r="B43" s="995">
        <v>17</v>
      </c>
      <c r="C43" s="995"/>
      <c r="D43" s="995">
        <v>1</v>
      </c>
      <c r="E43" s="996"/>
      <c r="F43" s="998">
        <v>1</v>
      </c>
      <c r="G43" s="998"/>
      <c r="H43" s="997"/>
      <c r="I43" s="1495"/>
      <c r="J43" s="1495"/>
      <c r="K43" s="999"/>
      <c r="L43" s="998"/>
      <c r="M43" s="997">
        <v>1</v>
      </c>
      <c r="N43" s="997"/>
      <c r="O43" s="997"/>
      <c r="P43" s="997"/>
      <c r="Q43" s="997"/>
      <c r="R43" s="997"/>
      <c r="S43" s="1501">
        <f t="shared" si="1"/>
        <v>20</v>
      </c>
      <c r="T43" s="1005"/>
      <c r="V43" s="1005"/>
      <c r="W43" s="828"/>
      <c r="X43" s="828"/>
      <c r="Y43" s="828"/>
      <c r="Z43" s="828"/>
      <c r="AA43" s="828"/>
      <c r="AB43" s="828"/>
      <c r="BR43" s="1007"/>
    </row>
    <row r="44" spans="1:70" ht="15.75" hidden="1">
      <c r="A44" s="1493">
        <v>42552</v>
      </c>
      <c r="B44" s="995">
        <v>9</v>
      </c>
      <c r="C44" s="995">
        <v>2</v>
      </c>
      <c r="D44" s="995"/>
      <c r="E44" s="996"/>
      <c r="F44" s="997">
        <v>1</v>
      </c>
      <c r="G44" s="998"/>
      <c r="H44" s="997"/>
      <c r="I44" s="1495"/>
      <c r="J44" s="1495"/>
      <c r="K44" s="999"/>
      <c r="L44" s="998"/>
      <c r="M44" s="997">
        <v>1</v>
      </c>
      <c r="N44" s="997"/>
      <c r="O44" s="997"/>
      <c r="P44" s="997"/>
      <c r="Q44" s="997"/>
      <c r="R44" s="997"/>
      <c r="S44" s="1501">
        <f t="shared" si="1"/>
        <v>13</v>
      </c>
      <c r="T44" s="1005"/>
      <c r="V44" s="1005"/>
      <c r="W44" s="828"/>
      <c r="X44" s="828"/>
      <c r="Y44" s="828"/>
      <c r="Z44" s="828"/>
      <c r="AA44" s="828"/>
      <c r="AB44" s="828"/>
      <c r="BR44" s="1007"/>
    </row>
    <row r="45" spans="1:70" ht="15.75" hidden="1">
      <c r="A45" s="1493">
        <v>42583</v>
      </c>
      <c r="B45" s="995">
        <v>16</v>
      </c>
      <c r="C45" s="995"/>
      <c r="D45" s="995"/>
      <c r="E45" s="996"/>
      <c r="F45" s="997"/>
      <c r="G45" s="998"/>
      <c r="H45" s="997"/>
      <c r="I45" s="1495"/>
      <c r="J45" s="1495"/>
      <c r="K45" s="999"/>
      <c r="L45" s="998"/>
      <c r="M45" s="997"/>
      <c r="N45" s="997"/>
      <c r="O45" s="997"/>
      <c r="P45" s="997"/>
      <c r="Q45" s="997"/>
      <c r="R45" s="997"/>
      <c r="S45" s="1501">
        <f t="shared" si="1"/>
        <v>16</v>
      </c>
      <c r="T45" s="1005"/>
      <c r="V45" s="1005"/>
      <c r="W45" s="828"/>
      <c r="X45" s="828"/>
      <c r="Y45" s="828"/>
      <c r="Z45" s="828"/>
      <c r="AA45" s="828"/>
      <c r="AB45" s="828"/>
      <c r="BR45" s="1007"/>
    </row>
    <row r="46" spans="1:70" ht="15.75" hidden="1">
      <c r="A46" s="1493">
        <v>42614</v>
      </c>
      <c r="B46" s="995">
        <v>16</v>
      </c>
      <c r="C46" s="995">
        <v>2</v>
      </c>
      <c r="D46" s="995">
        <v>5</v>
      </c>
      <c r="E46" s="996"/>
      <c r="F46" s="997">
        <v>1</v>
      </c>
      <c r="G46" s="998"/>
      <c r="H46" s="997"/>
      <c r="I46" s="1495"/>
      <c r="J46" s="1495"/>
      <c r="K46" s="999"/>
      <c r="L46" s="998"/>
      <c r="M46" s="997"/>
      <c r="N46" s="997"/>
      <c r="O46" s="997"/>
      <c r="P46" s="997"/>
      <c r="Q46" s="997"/>
      <c r="R46" s="997"/>
      <c r="S46" s="1501">
        <f t="shared" si="1"/>
        <v>24</v>
      </c>
      <c r="T46" s="1005"/>
      <c r="V46" s="1005"/>
      <c r="W46" s="828"/>
      <c r="X46" s="828"/>
      <c r="Y46" s="828"/>
      <c r="Z46" s="828"/>
      <c r="AA46" s="828"/>
      <c r="AB46" s="828"/>
      <c r="BR46" s="1007"/>
    </row>
    <row r="47" spans="1:70" ht="15.75" hidden="1">
      <c r="A47" s="1493">
        <v>42644</v>
      </c>
      <c r="B47" s="995">
        <v>20</v>
      </c>
      <c r="C47" s="995">
        <v>2</v>
      </c>
      <c r="D47" s="995">
        <v>2</v>
      </c>
      <c r="E47" s="996"/>
      <c r="F47" s="997"/>
      <c r="G47" s="998"/>
      <c r="H47" s="997"/>
      <c r="I47" s="1495"/>
      <c r="J47" s="1495"/>
      <c r="K47" s="999">
        <v>1</v>
      </c>
      <c r="L47" s="998"/>
      <c r="M47" s="997"/>
      <c r="N47" s="997"/>
      <c r="O47" s="997"/>
      <c r="P47" s="997"/>
      <c r="Q47" s="997"/>
      <c r="R47" s="997"/>
      <c r="S47" s="1501">
        <f t="shared" si="1"/>
        <v>25</v>
      </c>
      <c r="T47" s="1005"/>
      <c r="V47" s="1005"/>
      <c r="W47" s="828"/>
      <c r="X47" s="828"/>
      <c r="Y47" s="828"/>
      <c r="Z47" s="828"/>
      <c r="AA47" s="828"/>
      <c r="AB47" s="828"/>
      <c r="BR47" s="1007"/>
    </row>
    <row r="48" spans="1:70" ht="15.75" hidden="1">
      <c r="A48" s="1493">
        <v>42675</v>
      </c>
      <c r="B48" s="995">
        <v>14</v>
      </c>
      <c r="C48" s="995">
        <v>2</v>
      </c>
      <c r="D48" s="995">
        <v>1</v>
      </c>
      <c r="E48" s="996"/>
      <c r="F48" s="997">
        <v>1</v>
      </c>
      <c r="G48" s="998"/>
      <c r="H48" s="997"/>
      <c r="I48" s="999">
        <v>1</v>
      </c>
      <c r="J48" s="999"/>
      <c r="K48" s="999"/>
      <c r="L48" s="998">
        <v>1</v>
      </c>
      <c r="M48" s="997"/>
      <c r="N48" s="997">
        <v>1</v>
      </c>
      <c r="O48" s="997"/>
      <c r="P48" s="997"/>
      <c r="Q48" s="997"/>
      <c r="R48" s="997"/>
      <c r="S48" s="1501">
        <f t="shared" si="1"/>
        <v>21</v>
      </c>
      <c r="T48" s="1005"/>
      <c r="V48" s="1005"/>
      <c r="W48" s="828"/>
      <c r="X48" s="828"/>
      <c r="Y48" s="828"/>
      <c r="Z48" s="828"/>
      <c r="AA48" s="828"/>
      <c r="AB48" s="828"/>
      <c r="BR48" s="1007"/>
    </row>
    <row r="49" spans="1:70" ht="16.5" hidden="1" thickBot="1">
      <c r="A49" s="2503">
        <v>42705</v>
      </c>
      <c r="B49" s="2504">
        <v>18</v>
      </c>
      <c r="C49" s="2504">
        <v>1</v>
      </c>
      <c r="D49" s="2504">
        <v>1</v>
      </c>
      <c r="E49" s="2505"/>
      <c r="F49" s="2506">
        <v>2</v>
      </c>
      <c r="G49" s="2507"/>
      <c r="H49" s="2506"/>
      <c r="I49" s="2508">
        <v>1</v>
      </c>
      <c r="J49" s="2508"/>
      <c r="K49" s="2508">
        <v>1</v>
      </c>
      <c r="L49" s="2507"/>
      <c r="M49" s="2506"/>
      <c r="N49" s="2506"/>
      <c r="O49" s="2506"/>
      <c r="P49" s="2506"/>
      <c r="Q49" s="2506"/>
      <c r="R49" s="2506"/>
      <c r="S49" s="2509">
        <f t="shared" si="1"/>
        <v>24</v>
      </c>
      <c r="T49" s="1005"/>
      <c r="V49" s="1005"/>
      <c r="W49" s="828"/>
      <c r="X49" s="828"/>
      <c r="Y49" s="828"/>
      <c r="Z49" s="828"/>
      <c r="AA49" s="828"/>
      <c r="AB49" s="828"/>
      <c r="BR49" s="1007"/>
    </row>
    <row r="50" spans="1:70" ht="15.75" hidden="1">
      <c r="A50" s="1256">
        <v>42736</v>
      </c>
      <c r="B50" s="1505">
        <v>14</v>
      </c>
      <c r="C50" s="1506"/>
      <c r="D50" s="1507"/>
      <c r="E50" s="1506"/>
      <c r="F50" s="1508"/>
      <c r="G50" s="1508"/>
      <c r="H50" s="1508"/>
      <c r="I50" s="1507"/>
      <c r="J50" s="1508"/>
      <c r="K50" s="1508">
        <v>1</v>
      </c>
      <c r="L50" s="1508"/>
      <c r="M50" s="1508"/>
      <c r="N50" s="1508"/>
      <c r="O50" s="1508"/>
      <c r="P50" s="1508"/>
      <c r="Q50" s="1508"/>
      <c r="R50" s="1508">
        <v>1</v>
      </c>
      <c r="S50" s="2517">
        <f t="shared" si="1"/>
        <v>16</v>
      </c>
      <c r="T50" s="1005"/>
      <c r="V50" s="1005"/>
      <c r="W50" s="828"/>
      <c r="X50" s="828"/>
      <c r="Y50" s="828"/>
      <c r="Z50" s="828"/>
      <c r="AA50" s="828"/>
      <c r="AB50" s="828"/>
      <c r="BR50" s="1007"/>
    </row>
    <row r="51" spans="1:70" ht="15.75" hidden="1">
      <c r="A51" s="1254">
        <v>42767</v>
      </c>
      <c r="B51" s="1516">
        <v>32</v>
      </c>
      <c r="C51" s="1517">
        <v>1</v>
      </c>
      <c r="D51" s="1518"/>
      <c r="E51" s="1517">
        <v>2</v>
      </c>
      <c r="F51" s="1519">
        <v>1</v>
      </c>
      <c r="G51" s="1519">
        <v>2</v>
      </c>
      <c r="H51" s="1519"/>
      <c r="I51" s="1518">
        <v>2</v>
      </c>
      <c r="J51" s="1519"/>
      <c r="K51" s="1519">
        <v>1</v>
      </c>
      <c r="L51" s="1519"/>
      <c r="M51" s="1519"/>
      <c r="N51" s="1519"/>
      <c r="O51" s="1519"/>
      <c r="P51" s="1519"/>
      <c r="Q51" s="1519"/>
      <c r="R51" s="1519">
        <v>1</v>
      </c>
      <c r="S51" s="1509">
        <f t="shared" si="1"/>
        <v>42</v>
      </c>
      <c r="T51" s="1005"/>
      <c r="V51" s="1005"/>
      <c r="W51" s="828"/>
      <c r="X51" s="828"/>
      <c r="Y51" s="828"/>
      <c r="Z51" s="828"/>
      <c r="AA51" s="828"/>
      <c r="AB51" s="828"/>
      <c r="BR51" s="1007"/>
    </row>
    <row r="52" spans="1:70" ht="15.75" hidden="1">
      <c r="A52" s="1254">
        <v>42795</v>
      </c>
      <c r="B52" s="1516">
        <v>21</v>
      </c>
      <c r="C52" s="1517"/>
      <c r="D52" s="1518"/>
      <c r="E52" s="1517">
        <v>8</v>
      </c>
      <c r="F52" s="1519">
        <v>1</v>
      </c>
      <c r="G52" s="1519">
        <v>3</v>
      </c>
      <c r="H52" s="1519"/>
      <c r="I52" s="1518"/>
      <c r="J52" s="1519"/>
      <c r="K52" s="1519"/>
      <c r="L52" s="1519"/>
      <c r="M52" s="1519"/>
      <c r="N52" s="1519"/>
      <c r="O52" s="1519"/>
      <c r="P52" s="1519"/>
      <c r="Q52" s="1519"/>
      <c r="R52" s="1519">
        <v>3</v>
      </c>
      <c r="S52" s="1509">
        <f t="shared" si="1"/>
        <v>36</v>
      </c>
      <c r="T52" s="1005"/>
      <c r="V52" s="1005"/>
      <c r="W52" s="828"/>
      <c r="X52" s="828"/>
      <c r="Y52" s="828"/>
      <c r="Z52" s="828"/>
      <c r="AA52" s="828"/>
      <c r="AB52" s="828"/>
      <c r="BR52" s="1007"/>
    </row>
    <row r="53" spans="1:70" ht="15.75" hidden="1">
      <c r="A53" s="1254">
        <v>42826</v>
      </c>
      <c r="B53" s="1516">
        <v>34</v>
      </c>
      <c r="C53" s="1517"/>
      <c r="D53" s="1518"/>
      <c r="E53" s="1517">
        <v>3</v>
      </c>
      <c r="F53" s="1519">
        <v>1</v>
      </c>
      <c r="G53" s="1519">
        <v>2</v>
      </c>
      <c r="H53" s="1519"/>
      <c r="I53" s="1518"/>
      <c r="J53" s="1519"/>
      <c r="K53" s="1519">
        <v>3</v>
      </c>
      <c r="L53" s="1519"/>
      <c r="M53" s="1519"/>
      <c r="N53" s="1519">
        <v>1</v>
      </c>
      <c r="O53" s="1519"/>
      <c r="P53" s="1519"/>
      <c r="Q53" s="1519"/>
      <c r="R53" s="1519">
        <v>1</v>
      </c>
      <c r="S53" s="1509">
        <f t="shared" si="1"/>
        <v>45</v>
      </c>
      <c r="T53" s="1005"/>
      <c r="V53" s="1005"/>
      <c r="W53" s="828"/>
      <c r="X53" s="828"/>
      <c r="Y53" s="828"/>
      <c r="Z53" s="828"/>
      <c r="AA53" s="828"/>
      <c r="AB53" s="828"/>
      <c r="BR53" s="1007"/>
    </row>
    <row r="54" spans="1:70" ht="15.75" hidden="1">
      <c r="A54" s="1254">
        <v>42856</v>
      </c>
      <c r="B54" s="1516">
        <v>7</v>
      </c>
      <c r="C54" s="1517"/>
      <c r="D54" s="1518"/>
      <c r="E54" s="1517"/>
      <c r="F54" s="1519"/>
      <c r="G54" s="1519"/>
      <c r="H54" s="1519"/>
      <c r="I54" s="1518">
        <v>1</v>
      </c>
      <c r="J54" s="1519"/>
      <c r="K54" s="1519"/>
      <c r="L54" s="1519">
        <v>4</v>
      </c>
      <c r="M54" s="1519">
        <v>1</v>
      </c>
      <c r="N54" s="1519"/>
      <c r="O54" s="1519"/>
      <c r="P54" s="1519"/>
      <c r="Q54" s="1519"/>
      <c r="R54" s="1519">
        <v>1</v>
      </c>
      <c r="S54" s="1509">
        <f t="shared" si="1"/>
        <v>14</v>
      </c>
      <c r="T54" s="1005"/>
      <c r="V54" s="1005"/>
      <c r="W54" s="828"/>
      <c r="X54" s="828"/>
      <c r="Y54" s="828"/>
      <c r="Z54" s="828"/>
      <c r="AA54" s="828"/>
      <c r="AB54" s="828"/>
      <c r="BR54" s="1007"/>
    </row>
    <row r="55" spans="1:70" ht="15.75" hidden="1">
      <c r="A55" s="1254">
        <v>42887</v>
      </c>
      <c r="B55" s="1516">
        <v>28</v>
      </c>
      <c r="C55" s="1527"/>
      <c r="D55" s="1528"/>
      <c r="E55" s="1527"/>
      <c r="F55" s="1529"/>
      <c r="G55" s="1529"/>
      <c r="H55" s="1529"/>
      <c r="I55" s="1528"/>
      <c r="J55" s="1529"/>
      <c r="K55" s="1529"/>
      <c r="L55" s="1529"/>
      <c r="M55" s="1529"/>
      <c r="N55" s="1529"/>
      <c r="O55" s="1529"/>
      <c r="P55" s="1529"/>
      <c r="Q55" s="1529"/>
      <c r="R55" s="1529"/>
      <c r="S55" s="1509">
        <f t="shared" si="1"/>
        <v>28</v>
      </c>
      <c r="T55" s="1005"/>
      <c r="V55" s="1005"/>
      <c r="W55" s="828"/>
      <c r="X55" s="828"/>
      <c r="Y55" s="828"/>
      <c r="Z55" s="828"/>
      <c r="AA55" s="828"/>
      <c r="AB55" s="828"/>
      <c r="BR55" s="1007"/>
    </row>
    <row r="56" spans="1:70" ht="15.75" hidden="1">
      <c r="A56" s="1254">
        <v>42917</v>
      </c>
      <c r="B56" s="1516">
        <v>29</v>
      </c>
      <c r="C56" s="1527">
        <v>2</v>
      </c>
      <c r="D56" s="1528"/>
      <c r="E56" s="1527">
        <v>4</v>
      </c>
      <c r="F56" s="1529">
        <v>1</v>
      </c>
      <c r="G56" s="1529">
        <v>2</v>
      </c>
      <c r="H56" s="1529"/>
      <c r="I56" s="1528">
        <v>2</v>
      </c>
      <c r="J56" s="1529"/>
      <c r="K56" s="1529">
        <v>3</v>
      </c>
      <c r="L56" s="1529"/>
      <c r="M56" s="1529"/>
      <c r="N56" s="1529"/>
      <c r="O56" s="1529"/>
      <c r="P56" s="1529"/>
      <c r="Q56" s="1529"/>
      <c r="R56" s="1529">
        <v>3</v>
      </c>
      <c r="S56" s="1509">
        <f t="shared" si="1"/>
        <v>46</v>
      </c>
      <c r="T56" s="1005"/>
      <c r="V56" s="1005"/>
      <c r="W56" s="828"/>
      <c r="X56" s="828"/>
      <c r="Y56" s="828"/>
      <c r="Z56" s="828"/>
      <c r="AA56" s="828"/>
      <c r="AB56" s="828"/>
      <c r="BR56" s="1007"/>
    </row>
    <row r="57" spans="1:70" ht="15.75" hidden="1">
      <c r="A57" s="1255">
        <v>42948</v>
      </c>
      <c r="B57" s="1516">
        <v>17</v>
      </c>
      <c r="C57" s="1527"/>
      <c r="D57" s="1528"/>
      <c r="E57" s="1527">
        <v>2</v>
      </c>
      <c r="F57" s="1529"/>
      <c r="G57" s="1529">
        <v>1</v>
      </c>
      <c r="H57" s="1529"/>
      <c r="I57" s="1528"/>
      <c r="J57" s="1529"/>
      <c r="K57" s="1529"/>
      <c r="L57" s="1529"/>
      <c r="M57" s="1529"/>
      <c r="N57" s="1529"/>
      <c r="O57" s="1529"/>
      <c r="P57" s="1529"/>
      <c r="Q57" s="1529"/>
      <c r="R57" s="1529"/>
      <c r="S57" s="1509">
        <f t="shared" si="1"/>
        <v>20</v>
      </c>
      <c r="T57" s="1005"/>
      <c r="V57" s="1005"/>
      <c r="W57" s="828"/>
      <c r="X57" s="828"/>
      <c r="Y57" s="828"/>
      <c r="Z57" s="828"/>
      <c r="AA57" s="828"/>
      <c r="AB57" s="828"/>
      <c r="BR57" s="1007"/>
    </row>
    <row r="58" spans="1:70" ht="15.75" hidden="1">
      <c r="A58" s="1255">
        <v>42979</v>
      </c>
      <c r="B58" s="1516">
        <v>17</v>
      </c>
      <c r="C58" s="1527">
        <v>1</v>
      </c>
      <c r="D58" s="1528"/>
      <c r="E58" s="1527">
        <v>4</v>
      </c>
      <c r="F58" s="1529"/>
      <c r="G58" s="1529"/>
      <c r="H58" s="1529"/>
      <c r="I58" s="1528"/>
      <c r="J58" s="1529"/>
      <c r="K58" s="1529"/>
      <c r="L58" s="1529"/>
      <c r="M58" s="1529"/>
      <c r="N58" s="1529"/>
      <c r="O58" s="1529"/>
      <c r="P58" s="1529"/>
      <c r="Q58" s="1529"/>
      <c r="R58" s="1529">
        <v>1</v>
      </c>
      <c r="S58" s="1509">
        <f t="shared" si="1"/>
        <v>23</v>
      </c>
      <c r="T58" s="1005"/>
      <c r="V58" s="1005"/>
      <c r="W58" s="828"/>
      <c r="X58" s="828"/>
      <c r="Y58" s="828"/>
      <c r="Z58" s="828"/>
      <c r="AA58" s="828"/>
      <c r="AB58" s="828"/>
      <c r="BR58" s="1007"/>
    </row>
    <row r="59" spans="1:70" ht="15.75" hidden="1">
      <c r="A59" s="1255">
        <v>43009</v>
      </c>
      <c r="B59" s="1516">
        <v>33</v>
      </c>
      <c r="C59" s="1527"/>
      <c r="D59" s="1528"/>
      <c r="E59" s="1527">
        <v>8</v>
      </c>
      <c r="F59" s="1529">
        <v>4</v>
      </c>
      <c r="G59" s="1529">
        <v>3</v>
      </c>
      <c r="H59" s="1529"/>
      <c r="I59" s="1528">
        <v>2</v>
      </c>
      <c r="J59" s="1529"/>
      <c r="K59" s="1529">
        <v>3</v>
      </c>
      <c r="L59" s="1529"/>
      <c r="M59" s="1529"/>
      <c r="N59" s="1529"/>
      <c r="O59" s="1529">
        <v>1</v>
      </c>
      <c r="P59" s="1529"/>
      <c r="Q59" s="1529"/>
      <c r="R59" s="1529">
        <v>3</v>
      </c>
      <c r="S59" s="1509">
        <f t="shared" si="1"/>
        <v>57</v>
      </c>
      <c r="U59" s="1005"/>
      <c r="V59" s="828"/>
      <c r="W59" s="828"/>
      <c r="X59" s="828"/>
      <c r="Y59" s="828"/>
      <c r="Z59" s="828"/>
      <c r="AA59" s="828"/>
      <c r="BQ59" s="1007"/>
    </row>
    <row r="60" spans="1:70" ht="15.75">
      <c r="A60" s="1255">
        <v>43040</v>
      </c>
      <c r="B60" s="1516">
        <v>26</v>
      </c>
      <c r="C60" s="1527"/>
      <c r="D60" s="1528"/>
      <c r="E60" s="1527">
        <v>11</v>
      </c>
      <c r="F60" s="1529"/>
      <c r="G60" s="1529">
        <v>2</v>
      </c>
      <c r="H60" s="1529"/>
      <c r="I60" s="1528"/>
      <c r="J60" s="1529"/>
      <c r="K60" s="1529"/>
      <c r="L60" s="1529"/>
      <c r="M60" s="1529"/>
      <c r="N60" s="1529">
        <v>1</v>
      </c>
      <c r="O60" s="1529"/>
      <c r="P60" s="1529"/>
      <c r="Q60" s="1529"/>
      <c r="R60" s="1529">
        <v>3</v>
      </c>
      <c r="S60" s="1509">
        <f t="shared" si="1"/>
        <v>43</v>
      </c>
      <c r="U60" s="1005"/>
      <c r="V60" s="828"/>
      <c r="W60" s="828"/>
      <c r="X60" s="828"/>
      <c r="Y60" s="828"/>
      <c r="Z60" s="828"/>
      <c r="AA60" s="828"/>
      <c r="BQ60" s="1007"/>
    </row>
    <row r="61" spans="1:70" ht="16.5" thickBot="1">
      <c r="A61" s="2518">
        <v>43070</v>
      </c>
      <c r="B61" s="2519">
        <v>28</v>
      </c>
      <c r="C61" s="2520"/>
      <c r="D61" s="2521"/>
      <c r="E61" s="2520">
        <v>6</v>
      </c>
      <c r="F61" s="2522"/>
      <c r="G61" s="2522">
        <v>1</v>
      </c>
      <c r="H61" s="2522"/>
      <c r="I61" s="2521">
        <v>1</v>
      </c>
      <c r="J61" s="2522"/>
      <c r="K61" s="2522">
        <v>1</v>
      </c>
      <c r="L61" s="2522"/>
      <c r="M61" s="2522"/>
      <c r="N61" s="2522"/>
      <c r="O61" s="2522"/>
      <c r="P61" s="2522">
        <v>1</v>
      </c>
      <c r="Q61" s="2522">
        <v>1</v>
      </c>
      <c r="R61" s="2522">
        <v>1</v>
      </c>
      <c r="S61" s="2523">
        <f t="shared" si="1"/>
        <v>40</v>
      </c>
      <c r="U61" s="1005"/>
      <c r="V61" s="828"/>
      <c r="W61" s="828"/>
      <c r="X61" s="828"/>
      <c r="Y61" s="828"/>
      <c r="Z61" s="828"/>
      <c r="AA61" s="828"/>
      <c r="BQ61" s="1007"/>
    </row>
    <row r="62" spans="1:70" ht="15.75">
      <c r="A62" s="2476">
        <v>43101</v>
      </c>
      <c r="B62" s="2499">
        <v>3</v>
      </c>
      <c r="C62" s="2514"/>
      <c r="D62" s="2515"/>
      <c r="E62" s="2514"/>
      <c r="F62" s="2516"/>
      <c r="G62" s="2516">
        <v>1</v>
      </c>
      <c r="H62" s="2516"/>
      <c r="I62" s="2515"/>
      <c r="J62" s="2516">
        <v>1</v>
      </c>
      <c r="K62" s="2516"/>
      <c r="L62" s="2516"/>
      <c r="M62" s="2516"/>
      <c r="N62" s="2516"/>
      <c r="O62" s="2516"/>
      <c r="P62" s="2516"/>
      <c r="Q62" s="2516"/>
      <c r="R62" s="2516"/>
      <c r="S62" s="2500">
        <f t="shared" si="1"/>
        <v>5</v>
      </c>
      <c r="U62" s="1005"/>
      <c r="V62" s="828"/>
      <c r="W62" s="828"/>
      <c r="X62" s="828"/>
      <c r="Y62" s="828"/>
      <c r="Z62" s="828"/>
      <c r="AA62" s="828"/>
      <c r="BQ62" s="1007"/>
    </row>
    <row r="63" spans="1:70" ht="15.75">
      <c r="A63" s="1255">
        <v>43132</v>
      </c>
      <c r="B63" s="1516">
        <v>39</v>
      </c>
      <c r="C63" s="1527">
        <v>1</v>
      </c>
      <c r="D63" s="1528"/>
      <c r="E63" s="1527">
        <v>1</v>
      </c>
      <c r="F63" s="1529">
        <v>2</v>
      </c>
      <c r="G63" s="1529"/>
      <c r="H63" s="1529"/>
      <c r="I63" s="1528">
        <v>1</v>
      </c>
      <c r="J63" s="1529">
        <v>1</v>
      </c>
      <c r="K63" s="1529"/>
      <c r="L63" s="1529"/>
      <c r="M63" s="1529"/>
      <c r="N63" s="1529"/>
      <c r="O63" s="1529"/>
      <c r="P63" s="1529"/>
      <c r="Q63" s="1529"/>
      <c r="R63" s="1529">
        <v>1</v>
      </c>
      <c r="S63" s="1509">
        <f t="shared" si="1"/>
        <v>46</v>
      </c>
      <c r="U63" s="1005"/>
      <c r="V63" s="828"/>
      <c r="W63" s="828"/>
      <c r="X63" s="828"/>
      <c r="Y63" s="828"/>
      <c r="Z63" s="828"/>
      <c r="AA63" s="828"/>
      <c r="BQ63" s="1007"/>
    </row>
    <row r="64" spans="1:70" ht="15.75">
      <c r="A64" s="1255">
        <v>43160</v>
      </c>
      <c r="B64" s="1516">
        <v>29</v>
      </c>
      <c r="C64" s="1527"/>
      <c r="D64" s="1528"/>
      <c r="E64" s="1527">
        <v>3</v>
      </c>
      <c r="F64" s="1529"/>
      <c r="G64" s="1529">
        <v>2</v>
      </c>
      <c r="H64" s="1529"/>
      <c r="I64" s="1528"/>
      <c r="J64" s="1529"/>
      <c r="K64" s="1529"/>
      <c r="L64" s="1529"/>
      <c r="M64" s="1529"/>
      <c r="N64" s="1529"/>
      <c r="O64" s="1529"/>
      <c r="P64" s="1529"/>
      <c r="Q64" s="1529"/>
      <c r="R64" s="1529">
        <v>2</v>
      </c>
      <c r="S64" s="1509">
        <f t="shared" si="1"/>
        <v>36</v>
      </c>
      <c r="U64" s="1005"/>
      <c r="V64" s="828"/>
      <c r="W64" s="828"/>
      <c r="X64" s="828"/>
      <c r="Y64" s="828"/>
      <c r="Z64" s="828"/>
      <c r="AA64" s="828"/>
      <c r="BQ64" s="1007"/>
    </row>
    <row r="65" spans="1:69" ht="15.75">
      <c r="A65" s="1255">
        <v>43191</v>
      </c>
      <c r="B65" s="995">
        <v>27</v>
      </c>
      <c r="C65" s="1004">
        <v>2</v>
      </c>
      <c r="D65" s="1494"/>
      <c r="E65" s="1004">
        <v>6</v>
      </c>
      <c r="F65" s="999">
        <v>4</v>
      </c>
      <c r="G65" s="999">
        <v>1</v>
      </c>
      <c r="H65" s="999">
        <v>1</v>
      </c>
      <c r="I65" s="1494"/>
      <c r="J65" s="999">
        <v>3</v>
      </c>
      <c r="K65" s="999"/>
      <c r="L65" s="1529"/>
      <c r="M65" s="1529"/>
      <c r="N65" s="1529"/>
      <c r="O65" s="1529"/>
      <c r="P65" s="1529"/>
      <c r="Q65" s="1529"/>
      <c r="R65" s="1529">
        <v>1</v>
      </c>
      <c r="S65" s="1509">
        <f t="shared" si="1"/>
        <v>45</v>
      </c>
      <c r="U65" s="1005"/>
      <c r="V65" s="828"/>
      <c r="W65" s="828"/>
      <c r="X65" s="828"/>
      <c r="Y65" s="828"/>
      <c r="Z65" s="828"/>
      <c r="AA65" s="828"/>
      <c r="BQ65" s="1007"/>
    </row>
    <row r="66" spans="1:69" ht="15.75">
      <c r="A66" s="1255">
        <v>43221</v>
      </c>
      <c r="B66" s="995">
        <v>25</v>
      </c>
      <c r="C66" s="1004"/>
      <c r="D66" s="1494"/>
      <c r="E66" s="1004">
        <v>4</v>
      </c>
      <c r="F66" s="999"/>
      <c r="G66" s="999"/>
      <c r="H66" s="999"/>
      <c r="I66" s="1494">
        <v>2</v>
      </c>
      <c r="J66" s="999"/>
      <c r="K66" s="999"/>
      <c r="L66" s="2723">
        <v>1</v>
      </c>
      <c r="M66" s="1529"/>
      <c r="N66" s="1529"/>
      <c r="O66" s="1529"/>
      <c r="P66" s="1529"/>
      <c r="Q66" s="1529"/>
      <c r="R66" s="1529">
        <v>1</v>
      </c>
      <c r="S66" s="1509">
        <f t="shared" si="1"/>
        <v>33</v>
      </c>
      <c r="U66" s="1005"/>
      <c r="V66" s="828"/>
      <c r="W66" s="828"/>
      <c r="X66" s="828"/>
      <c r="Y66" s="828"/>
      <c r="Z66" s="828"/>
      <c r="AA66" s="828"/>
      <c r="BQ66" s="1007"/>
    </row>
    <row r="67" spans="1:69" ht="15.75">
      <c r="A67" s="1255">
        <v>43252</v>
      </c>
      <c r="B67" s="995">
        <v>26</v>
      </c>
      <c r="C67" s="1004"/>
      <c r="D67" s="1494"/>
      <c r="E67" s="1004">
        <v>4</v>
      </c>
      <c r="F67" s="999"/>
      <c r="G67" s="999"/>
      <c r="H67" s="999"/>
      <c r="I67" s="1494"/>
      <c r="J67" s="999"/>
      <c r="K67" s="999">
        <v>1</v>
      </c>
      <c r="L67" s="1529"/>
      <c r="M67" s="1529"/>
      <c r="N67" s="1529"/>
      <c r="O67" s="1529"/>
      <c r="P67" s="1529"/>
      <c r="Q67" s="1529"/>
      <c r="R67" s="1529"/>
      <c r="S67" s="1509">
        <f t="shared" ref="S67:S71" si="2">SUM(B67:R67)</f>
        <v>31</v>
      </c>
      <c r="U67" s="1005"/>
      <c r="V67" s="828"/>
      <c r="W67" s="828"/>
      <c r="X67" s="828"/>
      <c r="Y67" s="828"/>
      <c r="Z67" s="828"/>
      <c r="AA67" s="828"/>
      <c r="BQ67" s="1007"/>
    </row>
    <row r="68" spans="1:69" ht="15.75">
      <c r="A68" s="1255">
        <v>43282</v>
      </c>
      <c r="B68" s="995">
        <v>21</v>
      </c>
      <c r="C68" s="1004"/>
      <c r="D68" s="1494"/>
      <c r="E68" s="1004"/>
      <c r="F68" s="999">
        <v>3</v>
      </c>
      <c r="G68" s="999"/>
      <c r="H68" s="999"/>
      <c r="I68" s="1494"/>
      <c r="J68" s="999"/>
      <c r="K68" s="999"/>
      <c r="L68" s="1529"/>
      <c r="M68" s="1529"/>
      <c r="N68" s="1529"/>
      <c r="O68" s="1529"/>
      <c r="P68" s="1529"/>
      <c r="Q68" s="1529"/>
      <c r="R68" s="1529"/>
      <c r="S68" s="4051">
        <f t="shared" si="2"/>
        <v>24</v>
      </c>
      <c r="U68" s="1005"/>
      <c r="V68" s="828"/>
      <c r="W68" s="828"/>
      <c r="X68" s="828"/>
      <c r="Y68" s="828"/>
      <c r="Z68" s="828"/>
      <c r="AA68" s="828"/>
      <c r="BQ68" s="1007"/>
    </row>
    <row r="69" spans="1:69" ht="15.75">
      <c r="A69" s="1255">
        <v>43313</v>
      </c>
      <c r="B69" s="995">
        <v>10</v>
      </c>
      <c r="C69" s="1004">
        <v>2</v>
      </c>
      <c r="D69" s="1494"/>
      <c r="E69" s="1004">
        <v>8</v>
      </c>
      <c r="F69" s="999"/>
      <c r="G69" s="999">
        <v>2</v>
      </c>
      <c r="H69" s="999"/>
      <c r="I69" s="1494"/>
      <c r="J69" s="999">
        <v>1</v>
      </c>
      <c r="K69" s="999"/>
      <c r="L69" s="1529"/>
      <c r="M69" s="1529"/>
      <c r="N69" s="1529"/>
      <c r="O69" s="1529"/>
      <c r="P69" s="1529"/>
      <c r="Q69" s="1529"/>
      <c r="R69" s="1529"/>
      <c r="S69" s="4051">
        <f t="shared" si="2"/>
        <v>23</v>
      </c>
      <c r="U69" s="1005"/>
      <c r="V69" s="828"/>
      <c r="W69" s="828"/>
      <c r="X69" s="828"/>
      <c r="Y69" s="828"/>
      <c r="Z69" s="828"/>
      <c r="AA69" s="828"/>
      <c r="BQ69" s="1007"/>
    </row>
    <row r="70" spans="1:69" ht="15.75">
      <c r="A70" s="1255">
        <v>43344</v>
      </c>
      <c r="B70" s="4048">
        <v>16</v>
      </c>
      <c r="C70" s="4049"/>
      <c r="D70" s="4047"/>
      <c r="E70" s="4049"/>
      <c r="F70" s="4050">
        <v>2</v>
      </c>
      <c r="G70" s="4050"/>
      <c r="H70" s="4050"/>
      <c r="I70" s="4047"/>
      <c r="J70" s="4050"/>
      <c r="K70" s="4050"/>
      <c r="L70" s="4052"/>
      <c r="M70" s="4052"/>
      <c r="N70" s="4052"/>
      <c r="O70" s="4052"/>
      <c r="P70" s="4052"/>
      <c r="Q70" s="4052"/>
      <c r="R70" s="4052">
        <v>2</v>
      </c>
      <c r="S70" s="4051">
        <f t="shared" si="2"/>
        <v>20</v>
      </c>
      <c r="U70" s="1005"/>
      <c r="V70" s="828"/>
      <c r="W70" s="828"/>
      <c r="X70" s="828"/>
      <c r="Y70" s="828"/>
      <c r="Z70" s="828"/>
      <c r="AA70" s="828"/>
      <c r="BQ70" s="1007"/>
    </row>
    <row r="71" spans="1:69" ht="16.5" thickBot="1">
      <c r="A71" s="1255">
        <v>43374</v>
      </c>
      <c r="B71" s="4048">
        <v>19</v>
      </c>
      <c r="C71" s="4049"/>
      <c r="D71" s="4047"/>
      <c r="E71" s="4049">
        <v>4</v>
      </c>
      <c r="F71" s="4050"/>
      <c r="G71" s="4050"/>
      <c r="H71" s="4050"/>
      <c r="I71" s="4047"/>
      <c r="J71" s="4050"/>
      <c r="K71" s="4050"/>
      <c r="L71" s="4052"/>
      <c r="M71" s="4052"/>
      <c r="N71" s="4052"/>
      <c r="O71" s="4052"/>
      <c r="P71" s="4052"/>
      <c r="Q71" s="4052"/>
      <c r="R71" s="4052">
        <v>2</v>
      </c>
      <c r="S71" s="4051">
        <f t="shared" si="2"/>
        <v>25</v>
      </c>
      <c r="U71" s="1005"/>
      <c r="V71" s="828"/>
      <c r="W71" s="828"/>
      <c r="X71" s="828"/>
      <c r="Y71" s="828"/>
      <c r="Z71" s="828"/>
      <c r="AA71" s="828"/>
      <c r="BQ71" s="1007"/>
    </row>
    <row r="72" spans="1:69" s="1009" customFormat="1" ht="30" customHeight="1" thickBot="1">
      <c r="A72" s="2720" t="s">
        <v>862</v>
      </c>
      <c r="B72" s="1530">
        <f>SUM(B62:B71)</f>
        <v>215</v>
      </c>
      <c r="C72" s="1530">
        <f t="shared" ref="C72:R72" si="3">SUM(C62:C71)</f>
        <v>5</v>
      </c>
      <c r="D72" s="1530">
        <f t="shared" si="3"/>
        <v>0</v>
      </c>
      <c r="E72" s="1530">
        <f t="shared" si="3"/>
        <v>30</v>
      </c>
      <c r="F72" s="1530">
        <f t="shared" si="3"/>
        <v>11</v>
      </c>
      <c r="G72" s="1530">
        <f t="shared" si="3"/>
        <v>6</v>
      </c>
      <c r="H72" s="1530">
        <f t="shared" si="3"/>
        <v>1</v>
      </c>
      <c r="I72" s="1530">
        <f t="shared" si="3"/>
        <v>3</v>
      </c>
      <c r="J72" s="1530">
        <f t="shared" si="3"/>
        <v>6</v>
      </c>
      <c r="K72" s="1530">
        <f t="shared" si="3"/>
        <v>1</v>
      </c>
      <c r="L72" s="1530">
        <f t="shared" si="3"/>
        <v>1</v>
      </c>
      <c r="M72" s="1530">
        <f t="shared" si="3"/>
        <v>0</v>
      </c>
      <c r="N72" s="1530">
        <f t="shared" si="3"/>
        <v>0</v>
      </c>
      <c r="O72" s="1530">
        <f t="shared" si="3"/>
        <v>0</v>
      </c>
      <c r="P72" s="1530">
        <f t="shared" si="3"/>
        <v>0</v>
      </c>
      <c r="Q72" s="1530">
        <f t="shared" si="3"/>
        <v>0</v>
      </c>
      <c r="R72" s="1530">
        <f t="shared" si="3"/>
        <v>9</v>
      </c>
      <c r="S72" s="1530">
        <f>SUM(S62:S71)</f>
        <v>288</v>
      </c>
      <c r="U72" s="1008"/>
      <c r="V72" s="1008"/>
      <c r="W72" s="1008"/>
      <c r="X72" s="1008"/>
      <c r="Y72" s="1008"/>
      <c r="Z72" s="1008"/>
      <c r="AA72" s="1008"/>
    </row>
    <row r="73" spans="1:69" ht="13.5" customHeight="1" thickBot="1">
      <c r="A73" s="1531"/>
      <c r="B73" s="1532"/>
      <c r="C73" s="1532"/>
      <c r="D73" s="1532"/>
      <c r="E73" s="1532"/>
      <c r="F73" s="1532"/>
      <c r="G73" s="1532"/>
      <c r="H73" s="1532"/>
      <c r="I73" s="1532"/>
      <c r="J73" s="1532"/>
      <c r="K73" s="1532"/>
      <c r="L73" s="1532"/>
      <c r="M73" s="1532"/>
      <c r="N73" s="1532"/>
      <c r="O73" s="1532"/>
      <c r="P73" s="1532"/>
      <c r="Q73" s="1532"/>
      <c r="R73" s="1532"/>
      <c r="S73" s="1532"/>
      <c r="T73" s="828"/>
      <c r="U73" s="828"/>
      <c r="V73" s="828"/>
      <c r="W73" s="828"/>
      <c r="X73" s="828"/>
      <c r="Y73" s="828"/>
    </row>
    <row r="74" spans="1:69" ht="16.5" thickBot="1">
      <c r="A74" s="3522" t="s">
        <v>360</v>
      </c>
      <c r="B74" s="3523"/>
      <c r="C74" s="3523"/>
      <c r="D74" s="3523"/>
      <c r="E74" s="3523"/>
      <c r="F74" s="3523"/>
      <c r="G74" s="3523"/>
      <c r="H74" s="3523"/>
      <c r="I74" s="3523"/>
      <c r="J74" s="3523"/>
      <c r="K74" s="3523"/>
      <c r="L74" s="3523"/>
      <c r="M74" s="3523"/>
      <c r="N74" s="3523"/>
      <c r="O74" s="3523"/>
      <c r="P74" s="3523"/>
      <c r="Q74" s="3524"/>
      <c r="R74" s="1532"/>
      <c r="S74" s="1532"/>
      <c r="T74" s="828"/>
      <c r="U74" s="828"/>
      <c r="V74" s="828"/>
      <c r="W74" s="828"/>
      <c r="X74" s="828"/>
      <c r="Y74" s="828"/>
    </row>
    <row r="75" spans="1:69" ht="69" customHeight="1" thickBot="1">
      <c r="A75" s="1478" t="s">
        <v>361</v>
      </c>
      <c r="B75" s="1479" t="s">
        <v>362</v>
      </c>
      <c r="C75" s="1479" t="s">
        <v>757</v>
      </c>
      <c r="D75" s="1480" t="s">
        <v>601</v>
      </c>
      <c r="E75" s="1481" t="s">
        <v>363</v>
      </c>
      <c r="F75" s="1482" t="s">
        <v>758</v>
      </c>
      <c r="G75" s="1480" t="s">
        <v>759</v>
      </c>
      <c r="H75" s="1480" t="s">
        <v>832</v>
      </c>
      <c r="I75" s="1480" t="s">
        <v>635</v>
      </c>
      <c r="J75" s="1481" t="s">
        <v>779</v>
      </c>
      <c r="K75" s="1481" t="s">
        <v>364</v>
      </c>
      <c r="L75" s="1481" t="s">
        <v>761</v>
      </c>
      <c r="M75" s="1481" t="s">
        <v>760</v>
      </c>
      <c r="N75" s="1483" t="s">
        <v>203</v>
      </c>
      <c r="O75" s="1483" t="s">
        <v>755</v>
      </c>
      <c r="P75" s="1481" t="s">
        <v>426</v>
      </c>
      <c r="Q75" s="1481" t="s">
        <v>756</v>
      </c>
      <c r="R75" s="1478" t="s">
        <v>214</v>
      </c>
      <c r="S75" s="1532"/>
      <c r="T75" s="1532"/>
      <c r="U75" s="828"/>
      <c r="V75" s="828"/>
      <c r="W75" s="828"/>
      <c r="X75" s="828"/>
      <c r="Y75" s="828"/>
      <c r="Z75" s="828"/>
    </row>
    <row r="76" spans="1:69" ht="13.5" hidden="1" customHeight="1">
      <c r="A76" s="1484">
        <v>41640</v>
      </c>
      <c r="B76" s="1503">
        <v>20682.830000000002</v>
      </c>
      <c r="C76" s="1503"/>
      <c r="D76" s="1503"/>
      <c r="E76" s="1487"/>
      <c r="F76" s="1487"/>
      <c r="G76" s="1487"/>
      <c r="H76" s="1487"/>
      <c r="I76" s="1487"/>
      <c r="J76" s="1486"/>
      <c r="K76" s="1486"/>
      <c r="L76" s="1486"/>
      <c r="M76" s="1486"/>
      <c r="N76" s="1486"/>
      <c r="O76" s="1486"/>
      <c r="P76" s="1486"/>
      <c r="Q76" s="2524"/>
      <c r="R76" s="1492">
        <f t="shared" ref="R76:R87" si="4">SUM(B76:M76)</f>
        <v>20682.830000000002</v>
      </c>
      <c r="S76" s="1532"/>
      <c r="T76" s="1532"/>
      <c r="U76" s="828"/>
      <c r="V76" s="828"/>
      <c r="W76" s="828"/>
      <c r="X76" s="828"/>
      <c r="Y76" s="828"/>
      <c r="Z76" s="828"/>
    </row>
    <row r="77" spans="1:69" ht="13.5" hidden="1" customHeight="1">
      <c r="A77" s="1493">
        <v>41671</v>
      </c>
      <c r="B77" s="995">
        <v>15445.25</v>
      </c>
      <c r="C77" s="995">
        <v>5790.62</v>
      </c>
      <c r="D77" s="995"/>
      <c r="E77" s="998">
        <v>330424.55</v>
      </c>
      <c r="F77" s="996"/>
      <c r="G77" s="998"/>
      <c r="H77" s="998"/>
      <c r="I77" s="998">
        <v>137256.67000000001</v>
      </c>
      <c r="J77" s="997"/>
      <c r="K77" s="997"/>
      <c r="L77" s="997"/>
      <c r="M77" s="997"/>
      <c r="N77" s="997"/>
      <c r="O77" s="997"/>
      <c r="P77" s="997"/>
      <c r="Q77" s="1491"/>
      <c r="R77" s="1497">
        <f t="shared" si="4"/>
        <v>488917.08999999997</v>
      </c>
      <c r="S77" s="1532"/>
      <c r="T77" s="1532"/>
      <c r="U77" s="828"/>
      <c r="V77" s="828"/>
      <c r="W77" s="828"/>
      <c r="X77" s="828"/>
      <c r="Y77" s="828"/>
      <c r="Z77" s="828"/>
    </row>
    <row r="78" spans="1:69" ht="13.5" hidden="1" customHeight="1">
      <c r="A78" s="1493">
        <v>41699</v>
      </c>
      <c r="B78" s="995">
        <v>67641.399999999994</v>
      </c>
      <c r="C78" s="995">
        <v>1611.98</v>
      </c>
      <c r="D78" s="995"/>
      <c r="E78" s="998">
        <v>274391.2</v>
      </c>
      <c r="F78" s="996"/>
      <c r="G78" s="998"/>
      <c r="H78" s="998"/>
      <c r="I78" s="998"/>
      <c r="J78" s="997"/>
      <c r="K78" s="997">
        <v>40391.480000000003</v>
      </c>
      <c r="L78" s="997"/>
      <c r="M78" s="997"/>
      <c r="N78" s="997"/>
      <c r="O78" s="997"/>
      <c r="P78" s="997"/>
      <c r="Q78" s="1491"/>
      <c r="R78" s="1497">
        <f t="shared" si="4"/>
        <v>384036.06</v>
      </c>
      <c r="S78" s="1532"/>
      <c r="T78" s="1532"/>
      <c r="U78" s="828"/>
      <c r="V78" s="828"/>
      <c r="W78" s="828"/>
      <c r="X78" s="828"/>
      <c r="Y78" s="828"/>
      <c r="Z78" s="828"/>
    </row>
    <row r="79" spans="1:69" ht="13.5" hidden="1" customHeight="1">
      <c r="A79" s="1493">
        <v>41730</v>
      </c>
      <c r="B79" s="995">
        <v>16296.9</v>
      </c>
      <c r="C79" s="995"/>
      <c r="D79" s="995"/>
      <c r="E79" s="998">
        <v>139941.98000000001</v>
      </c>
      <c r="F79" s="996">
        <v>9998.7199999999993</v>
      </c>
      <c r="G79" s="998">
        <v>39266.480000000003</v>
      </c>
      <c r="H79" s="998"/>
      <c r="I79" s="998"/>
      <c r="J79" s="997"/>
      <c r="K79" s="997">
        <v>21894.95</v>
      </c>
      <c r="L79" s="997"/>
      <c r="M79" s="997"/>
      <c r="N79" s="997"/>
      <c r="O79" s="997"/>
      <c r="P79" s="997"/>
      <c r="Q79" s="1491"/>
      <c r="R79" s="1497">
        <f t="shared" si="4"/>
        <v>227399.03000000003</v>
      </c>
      <c r="S79" s="1532"/>
      <c r="T79" s="1532"/>
      <c r="U79" s="828"/>
      <c r="V79" s="828"/>
      <c r="W79" s="828"/>
      <c r="X79" s="828"/>
      <c r="Y79" s="828"/>
      <c r="Z79" s="828"/>
    </row>
    <row r="80" spans="1:69" ht="13.5" hidden="1" customHeight="1">
      <c r="A80" s="1493">
        <v>41760</v>
      </c>
      <c r="B80" s="995">
        <v>37103.360000000001</v>
      </c>
      <c r="C80" s="995"/>
      <c r="D80" s="995"/>
      <c r="E80" s="998">
        <v>276060.23</v>
      </c>
      <c r="F80" s="996">
        <v>53130.559999999998</v>
      </c>
      <c r="G80" s="998"/>
      <c r="H80" s="998"/>
      <c r="I80" s="998"/>
      <c r="J80" s="997"/>
      <c r="K80" s="997"/>
      <c r="L80" s="997"/>
      <c r="M80" s="997"/>
      <c r="N80" s="997"/>
      <c r="O80" s="997"/>
      <c r="P80" s="997"/>
      <c r="Q80" s="1491"/>
      <c r="R80" s="1497">
        <f t="shared" si="4"/>
        <v>366294.14999999997</v>
      </c>
      <c r="S80" s="1532"/>
      <c r="T80" s="1532"/>
      <c r="U80" s="828"/>
      <c r="V80" s="828"/>
      <c r="W80" s="828"/>
      <c r="X80" s="828"/>
      <c r="Y80" s="828"/>
      <c r="Z80" s="828"/>
    </row>
    <row r="81" spans="1:26" ht="13.5" hidden="1" customHeight="1">
      <c r="A81" s="1493">
        <v>41791</v>
      </c>
      <c r="B81" s="995">
        <v>32459.48</v>
      </c>
      <c r="C81" s="995"/>
      <c r="D81" s="995"/>
      <c r="E81" s="998">
        <v>665864.46</v>
      </c>
      <c r="F81" s="996">
        <v>95831.9</v>
      </c>
      <c r="G81" s="998">
        <v>82801.52</v>
      </c>
      <c r="H81" s="998"/>
      <c r="I81" s="998">
        <v>1073062.1399999999</v>
      </c>
      <c r="J81" s="997"/>
      <c r="K81" s="997"/>
      <c r="L81" s="997"/>
      <c r="M81" s="997"/>
      <c r="N81" s="997"/>
      <c r="O81" s="997"/>
      <c r="P81" s="997"/>
      <c r="Q81" s="1491"/>
      <c r="R81" s="1497">
        <f t="shared" si="4"/>
        <v>1950019.5</v>
      </c>
      <c r="S81" s="1532"/>
      <c r="T81" s="1532"/>
      <c r="U81" s="828"/>
      <c r="V81" s="828"/>
      <c r="W81" s="828"/>
      <c r="X81" s="828"/>
      <c r="Y81" s="828"/>
      <c r="Z81" s="828"/>
    </row>
    <row r="82" spans="1:26" ht="13.5" hidden="1" customHeight="1">
      <c r="A82" s="1493">
        <v>41821</v>
      </c>
      <c r="B82" s="995">
        <v>47085.08</v>
      </c>
      <c r="C82" s="995"/>
      <c r="D82" s="995"/>
      <c r="E82" s="998">
        <v>153478.85999999999</v>
      </c>
      <c r="F82" s="996">
        <v>5354.88</v>
      </c>
      <c r="G82" s="998"/>
      <c r="H82" s="998"/>
      <c r="I82" s="998"/>
      <c r="J82" s="997"/>
      <c r="K82" s="997"/>
      <c r="L82" s="997"/>
      <c r="M82" s="997">
        <v>1316228.6000000001</v>
      </c>
      <c r="N82" s="997"/>
      <c r="O82" s="997"/>
      <c r="P82" s="997"/>
      <c r="Q82" s="1491"/>
      <c r="R82" s="1497">
        <f t="shared" si="4"/>
        <v>1522147.4200000002</v>
      </c>
      <c r="S82" s="1532"/>
      <c r="T82" s="1532"/>
      <c r="U82" s="828"/>
      <c r="V82" s="828"/>
      <c r="W82" s="828"/>
      <c r="X82" s="828"/>
      <c r="Y82" s="828"/>
      <c r="Z82" s="828"/>
    </row>
    <row r="83" spans="1:26" ht="13.5" hidden="1" customHeight="1">
      <c r="A83" s="1493">
        <v>41852</v>
      </c>
      <c r="B83" s="995">
        <v>48627.44</v>
      </c>
      <c r="C83" s="995"/>
      <c r="D83" s="995"/>
      <c r="E83" s="998">
        <v>52372.72</v>
      </c>
      <c r="F83" s="996">
        <v>158150.04999999999</v>
      </c>
      <c r="G83" s="998">
        <v>0</v>
      </c>
      <c r="H83" s="998"/>
      <c r="I83" s="998"/>
      <c r="J83" s="997"/>
      <c r="K83" s="997">
        <v>22400</v>
      </c>
      <c r="L83" s="997"/>
      <c r="M83" s="997"/>
      <c r="N83" s="997"/>
      <c r="O83" s="997"/>
      <c r="P83" s="997"/>
      <c r="Q83" s="1491"/>
      <c r="R83" s="1497">
        <f t="shared" si="4"/>
        <v>281550.20999999996</v>
      </c>
      <c r="S83" s="1532"/>
      <c r="T83" s="1532"/>
      <c r="U83" s="828"/>
      <c r="V83" s="828"/>
      <c r="W83" s="828"/>
      <c r="X83" s="828"/>
      <c r="Y83" s="828"/>
      <c r="Z83" s="828"/>
    </row>
    <row r="84" spans="1:26" ht="13.5" hidden="1" customHeight="1">
      <c r="A84" s="1493">
        <v>41883</v>
      </c>
      <c r="B84" s="995">
        <v>49716.06</v>
      </c>
      <c r="C84" s="995">
        <v>76473.91</v>
      </c>
      <c r="D84" s="995"/>
      <c r="E84" s="998">
        <v>17740.8</v>
      </c>
      <c r="F84" s="996"/>
      <c r="G84" s="998">
        <v>18480</v>
      </c>
      <c r="H84" s="998"/>
      <c r="I84" s="998"/>
      <c r="J84" s="997"/>
      <c r="K84" s="997">
        <v>25166.400000000001</v>
      </c>
      <c r="L84" s="997"/>
      <c r="M84" s="997"/>
      <c r="N84" s="997"/>
      <c r="O84" s="997"/>
      <c r="P84" s="997"/>
      <c r="Q84" s="1491"/>
      <c r="R84" s="1497">
        <f t="shared" si="4"/>
        <v>187577.16999999998</v>
      </c>
      <c r="S84" s="1532"/>
      <c r="T84" s="1532"/>
      <c r="U84" s="828"/>
      <c r="V84" s="828"/>
      <c r="W84" s="828"/>
      <c r="X84" s="828"/>
      <c r="Y84" s="828"/>
      <c r="Z84" s="828"/>
    </row>
    <row r="85" spans="1:26" ht="13.5" hidden="1" customHeight="1">
      <c r="A85" s="1493">
        <v>41913</v>
      </c>
      <c r="B85" s="995">
        <v>14098.67</v>
      </c>
      <c r="C85" s="995"/>
      <c r="D85" s="995"/>
      <c r="E85" s="998">
        <v>271633.86</v>
      </c>
      <c r="F85" s="996">
        <v>16698.93</v>
      </c>
      <c r="G85" s="998"/>
      <c r="H85" s="998"/>
      <c r="I85" s="998"/>
      <c r="J85" s="997"/>
      <c r="K85" s="997"/>
      <c r="L85" s="997"/>
      <c r="M85" s="997">
        <v>57589.87</v>
      </c>
      <c r="N85" s="997"/>
      <c r="O85" s="997"/>
      <c r="P85" s="997"/>
      <c r="Q85" s="1491"/>
      <c r="R85" s="1497">
        <f t="shared" si="4"/>
        <v>360021.32999999996</v>
      </c>
      <c r="S85" s="1532"/>
      <c r="T85" s="1532"/>
      <c r="U85" s="828"/>
      <c r="V85" s="828"/>
      <c r="W85" s="828"/>
      <c r="X85" s="828"/>
      <c r="Y85" s="828"/>
      <c r="Z85" s="828"/>
    </row>
    <row r="86" spans="1:26" ht="13.5" hidden="1" customHeight="1">
      <c r="A86" s="1493">
        <v>41944</v>
      </c>
      <c r="B86" s="995">
        <v>30780.78</v>
      </c>
      <c r="C86" s="995"/>
      <c r="D86" s="995"/>
      <c r="E86" s="998">
        <v>136898.93</v>
      </c>
      <c r="F86" s="996">
        <v>33219.199999999997</v>
      </c>
      <c r="G86" s="998"/>
      <c r="H86" s="998"/>
      <c r="I86" s="998"/>
      <c r="J86" s="997"/>
      <c r="K86" s="997"/>
      <c r="L86" s="997"/>
      <c r="M86" s="997"/>
      <c r="N86" s="997"/>
      <c r="O86" s="997"/>
      <c r="P86" s="997"/>
      <c r="Q86" s="1491"/>
      <c r="R86" s="1497">
        <f t="shared" si="4"/>
        <v>200898.90999999997</v>
      </c>
      <c r="S86" s="1532"/>
      <c r="T86" s="1532"/>
      <c r="U86" s="828"/>
      <c r="V86" s="828"/>
      <c r="W86" s="828"/>
      <c r="X86" s="828"/>
      <c r="Y86" s="828"/>
      <c r="Z86" s="828"/>
    </row>
    <row r="87" spans="1:26" ht="13.5" hidden="1" customHeight="1" thickBot="1">
      <c r="A87" s="2503">
        <v>41974</v>
      </c>
      <c r="B87" s="2504">
        <v>33743.32</v>
      </c>
      <c r="C87" s="2504"/>
      <c r="D87" s="2504"/>
      <c r="E87" s="2507">
        <v>270550.59000000003</v>
      </c>
      <c r="F87" s="2505">
        <v>34381.42</v>
      </c>
      <c r="G87" s="2507">
        <v>62427.23</v>
      </c>
      <c r="H87" s="2507"/>
      <c r="I87" s="2507">
        <v>288029.59999999998</v>
      </c>
      <c r="J87" s="2506"/>
      <c r="K87" s="2506"/>
      <c r="L87" s="2506"/>
      <c r="M87" s="2506"/>
      <c r="N87" s="2506"/>
      <c r="O87" s="2506"/>
      <c r="P87" s="2506"/>
      <c r="Q87" s="2525"/>
      <c r="R87" s="2527">
        <f t="shared" si="4"/>
        <v>689132.15999999992</v>
      </c>
      <c r="S87" s="1532"/>
      <c r="T87" s="1532"/>
      <c r="U87" s="828"/>
      <c r="V87" s="828"/>
      <c r="W87" s="828"/>
      <c r="X87" s="828"/>
      <c r="Y87" s="828"/>
      <c r="Z87" s="828"/>
    </row>
    <row r="88" spans="1:26" ht="13.5" hidden="1" customHeight="1">
      <c r="A88" s="1484">
        <v>42005</v>
      </c>
      <c r="B88" s="1503">
        <v>12483.52</v>
      </c>
      <c r="C88" s="1503"/>
      <c r="D88" s="1503"/>
      <c r="E88" s="1487"/>
      <c r="F88" s="1485">
        <v>10752</v>
      </c>
      <c r="G88" s="1487"/>
      <c r="H88" s="1487"/>
      <c r="I88" s="1487"/>
      <c r="J88" s="1486"/>
      <c r="K88" s="1486"/>
      <c r="L88" s="1486"/>
      <c r="M88" s="1486">
        <v>731141.52</v>
      </c>
      <c r="N88" s="1487"/>
      <c r="O88" s="1487"/>
      <c r="P88" s="1485"/>
      <c r="Q88" s="2524"/>
      <c r="R88" s="2528">
        <f t="shared" ref="R88:R111" si="5">SUM(B88:P88)</f>
        <v>754377.04</v>
      </c>
      <c r="S88" s="1532"/>
      <c r="T88" s="1532"/>
      <c r="U88" s="828"/>
      <c r="V88" s="828"/>
      <c r="W88" s="828"/>
      <c r="X88" s="828"/>
      <c r="Y88" s="828"/>
      <c r="Z88" s="828"/>
    </row>
    <row r="89" spans="1:26" ht="13.5" hidden="1" customHeight="1">
      <c r="A89" s="1493">
        <v>42036</v>
      </c>
      <c r="B89" s="995">
        <v>77417.47</v>
      </c>
      <c r="C89" s="995">
        <v>8328.1967999999997</v>
      </c>
      <c r="D89" s="995"/>
      <c r="E89" s="998"/>
      <c r="F89" s="996"/>
      <c r="G89" s="998">
        <v>93076</v>
      </c>
      <c r="H89" s="998"/>
      <c r="I89" s="998"/>
      <c r="J89" s="997"/>
      <c r="K89" s="997"/>
      <c r="L89" s="997"/>
      <c r="M89" s="997"/>
      <c r="N89" s="998"/>
      <c r="O89" s="998"/>
      <c r="P89" s="996"/>
      <c r="Q89" s="1491"/>
      <c r="R89" s="1502">
        <f t="shared" si="5"/>
        <v>178821.66680000001</v>
      </c>
      <c r="S89" s="1532"/>
      <c r="T89" s="1532"/>
      <c r="U89" s="828"/>
      <c r="V89" s="828"/>
      <c r="W89" s="828"/>
      <c r="X89" s="828"/>
      <c r="Y89" s="828"/>
      <c r="Z89" s="828"/>
    </row>
    <row r="90" spans="1:26" ht="13.5" hidden="1" customHeight="1">
      <c r="A90" s="1493">
        <v>42064</v>
      </c>
      <c r="B90" s="995">
        <v>72856.59</v>
      </c>
      <c r="C90" s="995">
        <v>4505.6032000000005</v>
      </c>
      <c r="D90" s="995"/>
      <c r="E90" s="998">
        <v>271900.01439999999</v>
      </c>
      <c r="F90" s="996">
        <v>20160</v>
      </c>
      <c r="G90" s="998">
        <v>142706.26</v>
      </c>
      <c r="H90" s="998"/>
      <c r="I90" s="998"/>
      <c r="J90" s="997"/>
      <c r="K90" s="997">
        <v>405997.79</v>
      </c>
      <c r="L90" s="997"/>
      <c r="M90" s="997"/>
      <c r="N90" s="998"/>
      <c r="O90" s="998"/>
      <c r="P90" s="996"/>
      <c r="Q90" s="1491"/>
      <c r="R90" s="1502">
        <f t="shared" si="5"/>
        <v>918126.2575999999</v>
      </c>
      <c r="S90" s="1532"/>
      <c r="T90" s="1532"/>
      <c r="U90" s="828"/>
      <c r="V90" s="828"/>
      <c r="W90" s="828"/>
      <c r="X90" s="828"/>
      <c r="Y90" s="828"/>
      <c r="Z90" s="828"/>
    </row>
    <row r="91" spans="1:26" ht="13.5" hidden="1" customHeight="1">
      <c r="A91" s="1493">
        <v>42095</v>
      </c>
      <c r="B91" s="995">
        <v>16232.170000000002</v>
      </c>
      <c r="C91" s="995"/>
      <c r="D91" s="995"/>
      <c r="E91" s="998">
        <v>216390.36</v>
      </c>
      <c r="F91" s="996"/>
      <c r="G91" s="998"/>
      <c r="H91" s="998"/>
      <c r="I91" s="998"/>
      <c r="J91" s="997"/>
      <c r="K91" s="997">
        <v>16996.82</v>
      </c>
      <c r="L91" s="997"/>
      <c r="M91" s="997"/>
      <c r="N91" s="998"/>
      <c r="O91" s="998"/>
      <c r="P91" s="996"/>
      <c r="Q91" s="1491"/>
      <c r="R91" s="1502">
        <f t="shared" si="5"/>
        <v>249619.35</v>
      </c>
      <c r="S91" s="1532"/>
      <c r="T91" s="1532"/>
      <c r="U91" s="828"/>
      <c r="V91" s="828"/>
      <c r="W91" s="828"/>
      <c r="X91" s="828"/>
      <c r="Y91" s="828"/>
      <c r="Z91" s="828"/>
    </row>
    <row r="92" spans="1:26" ht="13.5" hidden="1" customHeight="1">
      <c r="A92" s="1493">
        <v>42125</v>
      </c>
      <c r="B92" s="1000">
        <v>30714.989999999998</v>
      </c>
      <c r="C92" s="1000"/>
      <c r="D92" s="1000"/>
      <c r="E92" s="1001">
        <v>32437.439999999999</v>
      </c>
      <c r="F92" s="1002">
        <v>55440</v>
      </c>
      <c r="G92" s="1001">
        <v>33689.633600000001</v>
      </c>
      <c r="H92" s="1001"/>
      <c r="I92" s="1001"/>
      <c r="J92" s="1003"/>
      <c r="K92" s="1003"/>
      <c r="L92" s="1003"/>
      <c r="M92" s="1001"/>
      <c r="N92" s="1001"/>
      <c r="O92" s="1001"/>
      <c r="P92" s="1004"/>
      <c r="Q92" s="1252"/>
      <c r="R92" s="1502">
        <f t="shared" si="5"/>
        <v>152282.06359999999</v>
      </c>
      <c r="S92" s="1532"/>
      <c r="T92" s="1532"/>
      <c r="U92" s="828"/>
      <c r="V92" s="828"/>
      <c r="W92" s="828"/>
      <c r="X92" s="828"/>
      <c r="Y92" s="828"/>
      <c r="Z92" s="828"/>
    </row>
    <row r="93" spans="1:26" ht="13.5" hidden="1" customHeight="1">
      <c r="A93" s="1493">
        <v>42156</v>
      </c>
      <c r="B93" s="1000">
        <v>31528</v>
      </c>
      <c r="C93" s="1000"/>
      <c r="D93" s="1000"/>
      <c r="E93" s="1001">
        <v>370504.61</v>
      </c>
      <c r="F93" s="1002">
        <v>27585.15</v>
      </c>
      <c r="G93" s="1001"/>
      <c r="H93" s="1001"/>
      <c r="I93" s="1001"/>
      <c r="J93" s="1003"/>
      <c r="K93" s="1003"/>
      <c r="L93" s="1003"/>
      <c r="M93" s="1001"/>
      <c r="N93" s="1001">
        <v>95127.38</v>
      </c>
      <c r="O93" s="1001"/>
      <c r="P93" s="1004"/>
      <c r="Q93" s="1252"/>
      <c r="R93" s="1502">
        <f t="shared" si="5"/>
        <v>524745.14</v>
      </c>
      <c r="S93" s="1532"/>
      <c r="T93" s="1532"/>
      <c r="U93" s="828"/>
      <c r="V93" s="828"/>
      <c r="W93" s="828"/>
      <c r="X93" s="828"/>
      <c r="Y93" s="828"/>
      <c r="Z93" s="828"/>
    </row>
    <row r="94" spans="1:26" ht="13.5" hidden="1" customHeight="1">
      <c r="A94" s="1493">
        <v>42186</v>
      </c>
      <c r="B94" s="1000">
        <v>69045.39</v>
      </c>
      <c r="C94" s="1000"/>
      <c r="D94" s="1000"/>
      <c r="E94" s="1001">
        <v>316498.48</v>
      </c>
      <c r="F94" s="1002">
        <v>38640</v>
      </c>
      <c r="G94" s="1001"/>
      <c r="H94" s="1001"/>
      <c r="I94" s="1001"/>
      <c r="J94" s="1003"/>
      <c r="K94" s="1003"/>
      <c r="L94" s="1003"/>
      <c r="M94" s="1001"/>
      <c r="N94" s="1001"/>
      <c r="O94" s="1001">
        <v>895679.75</v>
      </c>
      <c r="P94" s="1004">
        <v>953619.34</v>
      </c>
      <c r="Q94" s="1252"/>
      <c r="R94" s="1502">
        <f t="shared" si="5"/>
        <v>2273482.96</v>
      </c>
      <c r="S94" s="1532"/>
      <c r="T94" s="1532"/>
      <c r="U94" s="828"/>
      <c r="V94" s="828"/>
      <c r="W94" s="828"/>
      <c r="X94" s="828"/>
      <c r="Y94" s="828"/>
      <c r="Z94" s="828"/>
    </row>
    <row r="95" spans="1:26" ht="13.5" hidden="1" customHeight="1">
      <c r="A95" s="1493">
        <v>42217</v>
      </c>
      <c r="B95" s="1000">
        <v>38183.15</v>
      </c>
      <c r="C95" s="1000"/>
      <c r="D95" s="1000"/>
      <c r="E95" s="1001">
        <v>51592.12</v>
      </c>
      <c r="F95" s="1002"/>
      <c r="G95" s="1001">
        <v>27692.67</v>
      </c>
      <c r="H95" s="1001"/>
      <c r="I95" s="1001"/>
      <c r="J95" s="1003"/>
      <c r="K95" s="1003">
        <v>32939.199999999997</v>
      </c>
      <c r="L95" s="1003"/>
      <c r="M95" s="1001"/>
      <c r="N95" s="1001"/>
      <c r="O95" s="1001"/>
      <c r="P95" s="1004"/>
      <c r="Q95" s="1252"/>
      <c r="R95" s="1502">
        <f t="shared" si="5"/>
        <v>150407.14000000001</v>
      </c>
      <c r="S95" s="1532"/>
      <c r="T95" s="1532"/>
      <c r="U95" s="828"/>
      <c r="V95" s="828"/>
      <c r="W95" s="828"/>
      <c r="X95" s="828"/>
      <c r="Y95" s="828"/>
      <c r="Z95" s="828"/>
    </row>
    <row r="96" spans="1:26" ht="13.5" hidden="1" customHeight="1">
      <c r="A96" s="1493">
        <v>42248</v>
      </c>
      <c r="B96" s="1000">
        <v>22173.86</v>
      </c>
      <c r="C96" s="1000"/>
      <c r="D96" s="1000"/>
      <c r="E96" s="1001">
        <v>35721.67</v>
      </c>
      <c r="F96" s="1002"/>
      <c r="G96" s="1001">
        <v>195266.58000000002</v>
      </c>
      <c r="H96" s="1001"/>
      <c r="I96" s="1001"/>
      <c r="J96" s="1003"/>
      <c r="K96" s="1003"/>
      <c r="L96" s="1003"/>
      <c r="M96" s="1001"/>
      <c r="N96" s="1001"/>
      <c r="O96" s="1001"/>
      <c r="P96" s="1004"/>
      <c r="Q96" s="1252"/>
      <c r="R96" s="1502">
        <f t="shared" si="5"/>
        <v>253162.11000000002</v>
      </c>
      <c r="S96" s="1532"/>
      <c r="T96" s="1532"/>
      <c r="U96" s="828"/>
      <c r="V96" s="828"/>
      <c r="W96" s="828"/>
      <c r="X96" s="828"/>
      <c r="Y96" s="828"/>
      <c r="Z96" s="828"/>
    </row>
    <row r="97" spans="1:26" ht="13.5" hidden="1" customHeight="1">
      <c r="A97" s="1493">
        <v>42278</v>
      </c>
      <c r="B97" s="1000">
        <v>14159.04</v>
      </c>
      <c r="C97" s="1000"/>
      <c r="D97" s="1000"/>
      <c r="E97" s="1001"/>
      <c r="F97" s="1002">
        <v>8400</v>
      </c>
      <c r="G97" s="1001">
        <v>21504</v>
      </c>
      <c r="H97" s="1001"/>
      <c r="I97" s="1001"/>
      <c r="J97" s="1003"/>
      <c r="K97" s="1003"/>
      <c r="L97" s="1003"/>
      <c r="M97" s="1001"/>
      <c r="N97" s="1001"/>
      <c r="O97" s="1001"/>
      <c r="P97" s="1004"/>
      <c r="Q97" s="1252"/>
      <c r="R97" s="1502">
        <f t="shared" si="5"/>
        <v>44063.040000000001</v>
      </c>
      <c r="S97" s="1532"/>
      <c r="T97" s="1532"/>
      <c r="U97" s="828"/>
      <c r="V97" s="828"/>
      <c r="W97" s="828"/>
      <c r="X97" s="828"/>
      <c r="Y97" s="828"/>
      <c r="Z97" s="828"/>
    </row>
    <row r="98" spans="1:26" ht="13.5" hidden="1" customHeight="1">
      <c r="A98" s="1493">
        <v>42309</v>
      </c>
      <c r="B98" s="1000">
        <v>123.2</v>
      </c>
      <c r="C98" s="1000"/>
      <c r="D98" s="1000"/>
      <c r="E98" s="1001"/>
      <c r="F98" s="1002"/>
      <c r="G98" s="1001"/>
      <c r="H98" s="1001"/>
      <c r="I98" s="1001"/>
      <c r="J98" s="1003"/>
      <c r="K98" s="1003"/>
      <c r="L98" s="1003"/>
      <c r="M98" s="1001"/>
      <c r="N98" s="1001"/>
      <c r="O98" s="1001"/>
      <c r="P98" s="1004"/>
      <c r="Q98" s="1252"/>
      <c r="R98" s="1502">
        <f t="shared" si="5"/>
        <v>123.2</v>
      </c>
      <c r="S98" s="1532"/>
      <c r="T98" s="1532"/>
      <c r="U98" s="828"/>
      <c r="V98" s="828"/>
      <c r="W98" s="828"/>
      <c r="X98" s="828"/>
      <c r="Y98" s="828"/>
      <c r="Z98" s="828"/>
    </row>
    <row r="99" spans="1:26" ht="13.5" hidden="1" customHeight="1" thickBot="1">
      <c r="A99" s="2503">
        <v>42339</v>
      </c>
      <c r="B99" s="2529">
        <v>20731.66</v>
      </c>
      <c r="C99" s="2529"/>
      <c r="D99" s="2529"/>
      <c r="E99" s="2530"/>
      <c r="F99" s="2531"/>
      <c r="G99" s="2530"/>
      <c r="H99" s="2530"/>
      <c r="I99" s="2530"/>
      <c r="J99" s="2532"/>
      <c r="K99" s="2532"/>
      <c r="L99" s="2532"/>
      <c r="M99" s="2530"/>
      <c r="N99" s="2530"/>
      <c r="O99" s="2530"/>
      <c r="P99" s="2510"/>
      <c r="Q99" s="2533"/>
      <c r="R99" s="2526">
        <f t="shared" si="5"/>
        <v>20731.66</v>
      </c>
      <c r="S99" s="1532"/>
      <c r="T99" s="1532"/>
      <c r="U99" s="828"/>
      <c r="V99" s="828"/>
      <c r="W99" s="828"/>
      <c r="X99" s="828"/>
      <c r="Y99" s="828"/>
      <c r="Z99" s="828"/>
    </row>
    <row r="100" spans="1:26" ht="13.5" hidden="1" customHeight="1">
      <c r="A100" s="1484">
        <v>42370</v>
      </c>
      <c r="B100" s="2536">
        <v>20073.648000000001</v>
      </c>
      <c r="C100" s="2536"/>
      <c r="D100" s="2536"/>
      <c r="E100" s="2537">
        <v>230483.48959999997</v>
      </c>
      <c r="F100" s="2538"/>
      <c r="G100" s="2537"/>
      <c r="H100" s="2537"/>
      <c r="I100" s="2537"/>
      <c r="J100" s="2539"/>
      <c r="K100" s="2539"/>
      <c r="L100" s="2539"/>
      <c r="M100" s="2537"/>
      <c r="N100" s="2537"/>
      <c r="O100" s="2537"/>
      <c r="P100" s="2501"/>
      <c r="Q100" s="2540"/>
      <c r="R100" s="2528">
        <f t="shared" si="5"/>
        <v>250557.13759999996</v>
      </c>
      <c r="S100" s="1532"/>
      <c r="T100" s="1532"/>
      <c r="U100" s="828"/>
      <c r="V100" s="828"/>
      <c r="W100" s="828"/>
      <c r="X100" s="828"/>
      <c r="Y100" s="828"/>
      <c r="Z100" s="828"/>
    </row>
    <row r="101" spans="1:26" ht="13.5" hidden="1" customHeight="1">
      <c r="A101" s="1493">
        <v>42401</v>
      </c>
      <c r="B101" s="1000">
        <v>9453.92</v>
      </c>
      <c r="C101" s="1000"/>
      <c r="D101" s="1000"/>
      <c r="E101" s="1001"/>
      <c r="F101" s="1002"/>
      <c r="G101" s="1001"/>
      <c r="H101" s="1001"/>
      <c r="I101" s="1001"/>
      <c r="J101" s="1003"/>
      <c r="K101" s="1003"/>
      <c r="L101" s="1003"/>
      <c r="M101" s="1001"/>
      <c r="N101" s="1001"/>
      <c r="O101" s="1001"/>
      <c r="P101" s="1004"/>
      <c r="Q101" s="1252"/>
      <c r="R101" s="1502">
        <f t="shared" si="5"/>
        <v>9453.92</v>
      </c>
      <c r="S101" s="1532"/>
      <c r="T101" s="1532"/>
      <c r="U101" s="828"/>
      <c r="V101" s="828"/>
      <c r="W101" s="828"/>
      <c r="X101" s="828"/>
      <c r="Y101" s="828"/>
      <c r="Z101" s="828"/>
    </row>
    <row r="102" spans="1:26" ht="13.5" hidden="1" customHeight="1">
      <c r="A102" s="1493">
        <v>42430</v>
      </c>
      <c r="B102" s="1000">
        <v>29068.480000000003</v>
      </c>
      <c r="C102" s="1000"/>
      <c r="D102" s="1000"/>
      <c r="E102" s="1001">
        <v>25004</v>
      </c>
      <c r="F102" s="1002"/>
      <c r="G102" s="1001">
        <v>11200</v>
      </c>
      <c r="H102" s="1001"/>
      <c r="I102" s="1001"/>
      <c r="J102" s="1003"/>
      <c r="K102" s="1003"/>
      <c r="L102" s="1003"/>
      <c r="M102" s="1001"/>
      <c r="N102" s="1001"/>
      <c r="O102" s="1001"/>
      <c r="P102" s="1004"/>
      <c r="Q102" s="1252"/>
      <c r="R102" s="1502">
        <f t="shared" si="5"/>
        <v>65272.480000000003</v>
      </c>
      <c r="S102" s="1532"/>
      <c r="T102" s="1532"/>
      <c r="U102" s="828"/>
      <c r="V102" s="828"/>
      <c r="W102" s="828"/>
      <c r="X102" s="828"/>
      <c r="Y102" s="828"/>
      <c r="Z102" s="828"/>
    </row>
    <row r="103" spans="1:26" ht="13.5" hidden="1" customHeight="1">
      <c r="A103" s="1493">
        <v>42461</v>
      </c>
      <c r="B103" s="1000">
        <v>57448.06</v>
      </c>
      <c r="C103" s="1000"/>
      <c r="D103" s="1000"/>
      <c r="E103" s="1001"/>
      <c r="F103" s="1002"/>
      <c r="G103" s="1001"/>
      <c r="H103" s="1001"/>
      <c r="I103" s="1001"/>
      <c r="J103" s="1003"/>
      <c r="K103" s="1003">
        <v>23306.080000000002</v>
      </c>
      <c r="L103" s="1003">
        <v>25661.439999999999</v>
      </c>
      <c r="M103" s="1001"/>
      <c r="N103" s="1001"/>
      <c r="O103" s="1001"/>
      <c r="P103" s="1004"/>
      <c r="Q103" s="1252"/>
      <c r="R103" s="1502">
        <f t="shared" si="5"/>
        <v>106415.58</v>
      </c>
      <c r="S103" s="1532"/>
      <c r="T103" s="1532"/>
      <c r="U103" s="828"/>
      <c r="V103" s="828"/>
      <c r="W103" s="828"/>
      <c r="X103" s="828"/>
      <c r="Y103" s="828"/>
      <c r="Z103" s="828"/>
    </row>
    <row r="104" spans="1:26" ht="13.5" hidden="1" customHeight="1">
      <c r="A104" s="1493">
        <v>42491</v>
      </c>
      <c r="B104" s="1000">
        <v>37062.19</v>
      </c>
      <c r="C104" s="1000">
        <v>27751.18</v>
      </c>
      <c r="D104" s="1000"/>
      <c r="E104" s="1001">
        <v>62321.279999999999</v>
      </c>
      <c r="F104" s="1002"/>
      <c r="G104" s="1001"/>
      <c r="H104" s="1001"/>
      <c r="I104" s="1001"/>
      <c r="J104" s="1003"/>
      <c r="K104" s="1003">
        <v>20266.09</v>
      </c>
      <c r="L104" s="1003"/>
      <c r="M104" s="1001"/>
      <c r="N104" s="1001"/>
      <c r="O104" s="1001"/>
      <c r="P104" s="1004"/>
      <c r="Q104" s="1252"/>
      <c r="R104" s="1502">
        <f t="shared" si="5"/>
        <v>147400.74</v>
      </c>
      <c r="S104" s="1532"/>
      <c r="T104" s="1532"/>
      <c r="U104" s="828"/>
      <c r="V104" s="828"/>
      <c r="W104" s="828"/>
      <c r="X104" s="828"/>
      <c r="Y104" s="828"/>
      <c r="Z104" s="828"/>
    </row>
    <row r="105" spans="1:26" ht="13.5" hidden="1" customHeight="1">
      <c r="A105" s="1493">
        <v>42522</v>
      </c>
      <c r="B105" s="1000">
        <v>66212</v>
      </c>
      <c r="C105" s="1000"/>
      <c r="D105" s="1000"/>
      <c r="E105" s="1001">
        <v>59754.53</v>
      </c>
      <c r="F105" s="1002">
        <v>8064</v>
      </c>
      <c r="G105" s="1001"/>
      <c r="H105" s="1001"/>
      <c r="I105" s="1001"/>
      <c r="J105" s="1003"/>
      <c r="K105" s="1003">
        <v>33588.800000000003</v>
      </c>
      <c r="L105" s="1003"/>
      <c r="M105" s="1001"/>
      <c r="N105" s="1001"/>
      <c r="O105" s="1001"/>
      <c r="P105" s="1004"/>
      <c r="Q105" s="1252"/>
      <c r="R105" s="1502">
        <f t="shared" si="5"/>
        <v>167619.33000000002</v>
      </c>
      <c r="S105" s="1532"/>
      <c r="T105" s="1532"/>
      <c r="U105" s="828"/>
      <c r="V105" s="828"/>
      <c r="W105" s="828"/>
      <c r="X105" s="828"/>
      <c r="Y105" s="828"/>
      <c r="Z105" s="828"/>
    </row>
    <row r="106" spans="1:26" ht="13.5" hidden="1" customHeight="1">
      <c r="A106" s="1493">
        <v>42552</v>
      </c>
      <c r="B106" s="1000">
        <v>21324.48</v>
      </c>
      <c r="C106" s="1000">
        <v>7602.91</v>
      </c>
      <c r="D106" s="1000"/>
      <c r="E106" s="1001"/>
      <c r="F106" s="1002">
        <v>47824</v>
      </c>
      <c r="G106" s="1001"/>
      <c r="H106" s="1001"/>
      <c r="I106" s="1001"/>
      <c r="J106" s="1003"/>
      <c r="K106" s="1003">
        <v>185211.0624</v>
      </c>
      <c r="L106" s="1003"/>
      <c r="M106" s="1001"/>
      <c r="N106" s="1001"/>
      <c r="O106" s="1001"/>
      <c r="P106" s="1004"/>
      <c r="Q106" s="1252"/>
      <c r="R106" s="1502">
        <f t="shared" si="5"/>
        <v>261962.45240000001</v>
      </c>
      <c r="S106" s="1532"/>
      <c r="T106" s="1532"/>
      <c r="U106" s="828"/>
      <c r="V106" s="828"/>
      <c r="W106" s="828"/>
      <c r="X106" s="828"/>
      <c r="Y106" s="828"/>
      <c r="Z106" s="828"/>
    </row>
    <row r="107" spans="1:26" ht="13.5" hidden="1" customHeight="1">
      <c r="A107" s="1493">
        <v>42583</v>
      </c>
      <c r="B107" s="1000">
        <v>46708.399999999994</v>
      </c>
      <c r="C107" s="1000"/>
      <c r="D107" s="1000"/>
      <c r="E107" s="1001"/>
      <c r="F107" s="1002"/>
      <c r="G107" s="1001"/>
      <c r="H107" s="1001"/>
      <c r="I107" s="1001"/>
      <c r="J107" s="1003"/>
      <c r="K107" s="1003"/>
      <c r="L107" s="1003"/>
      <c r="M107" s="1001"/>
      <c r="N107" s="1001"/>
      <c r="O107" s="1001"/>
      <c r="P107" s="1004"/>
      <c r="Q107" s="1252"/>
      <c r="R107" s="1502">
        <f t="shared" si="5"/>
        <v>46708.399999999994</v>
      </c>
      <c r="S107" s="1532"/>
      <c r="T107" s="1532"/>
      <c r="U107" s="828"/>
      <c r="V107" s="828"/>
      <c r="W107" s="828"/>
      <c r="X107" s="828"/>
      <c r="Y107" s="828"/>
      <c r="Z107" s="828"/>
    </row>
    <row r="108" spans="1:26" ht="13.5" hidden="1" customHeight="1">
      <c r="A108" s="1493">
        <v>42614</v>
      </c>
      <c r="B108" s="1000">
        <v>47336.22</v>
      </c>
      <c r="C108" s="1000">
        <v>5526.62</v>
      </c>
      <c r="D108" s="1000"/>
      <c r="E108" s="1001">
        <v>210952.75</v>
      </c>
      <c r="F108" s="1002">
        <v>10080</v>
      </c>
      <c r="G108" s="1001"/>
      <c r="H108" s="1001"/>
      <c r="I108" s="1001"/>
      <c r="J108" s="1003"/>
      <c r="K108" s="1003"/>
      <c r="L108" s="1003"/>
      <c r="M108" s="1001"/>
      <c r="N108" s="1001"/>
      <c r="O108" s="1001"/>
      <c r="P108" s="1004"/>
      <c r="Q108" s="1252"/>
      <c r="R108" s="1502">
        <f t="shared" si="5"/>
        <v>273895.59000000003</v>
      </c>
      <c r="S108" s="1532"/>
      <c r="T108" s="1532"/>
      <c r="U108" s="828"/>
      <c r="V108" s="828"/>
      <c r="W108" s="828"/>
      <c r="X108" s="828"/>
      <c r="Y108" s="828"/>
      <c r="Z108" s="828"/>
    </row>
    <row r="109" spans="1:26" ht="13.5" hidden="1" customHeight="1">
      <c r="A109" s="1493">
        <v>42644</v>
      </c>
      <c r="B109" s="1000">
        <v>80464.78</v>
      </c>
      <c r="C109" s="1000">
        <v>13657.28</v>
      </c>
      <c r="D109" s="1000"/>
      <c r="E109" s="1001">
        <v>136110.39000000001</v>
      </c>
      <c r="F109" s="1002"/>
      <c r="G109" s="1001"/>
      <c r="H109" s="1001"/>
      <c r="I109" s="1001"/>
      <c r="J109" s="1003"/>
      <c r="K109" s="1003"/>
      <c r="L109" s="1003">
        <v>90707.34</v>
      </c>
      <c r="M109" s="1001"/>
      <c r="N109" s="1001"/>
      <c r="O109" s="1001"/>
      <c r="P109" s="1004"/>
      <c r="Q109" s="1252"/>
      <c r="R109" s="1502">
        <f t="shared" si="5"/>
        <v>320939.79000000004</v>
      </c>
      <c r="S109" s="1532"/>
      <c r="T109" s="1532"/>
      <c r="U109" s="828"/>
      <c r="V109" s="828"/>
      <c r="W109" s="828"/>
      <c r="X109" s="828"/>
      <c r="Y109" s="828"/>
      <c r="Z109" s="828"/>
    </row>
    <row r="110" spans="1:26" ht="13.5" hidden="1" customHeight="1">
      <c r="A110" s="1493">
        <v>42675</v>
      </c>
      <c r="B110" s="1000">
        <v>36938.949999999997</v>
      </c>
      <c r="C110" s="1000">
        <v>89415.7</v>
      </c>
      <c r="D110" s="1000"/>
      <c r="E110" s="1001">
        <v>69846.89</v>
      </c>
      <c r="F110" s="1002">
        <v>36288</v>
      </c>
      <c r="G110" s="1001"/>
      <c r="H110" s="1001"/>
      <c r="I110" s="1001">
        <v>1765754.13</v>
      </c>
      <c r="J110" s="1003"/>
      <c r="K110" s="1003"/>
      <c r="L110" s="1003"/>
      <c r="M110" s="1001"/>
      <c r="N110" s="1001">
        <v>7043.3</v>
      </c>
      <c r="O110" s="1001"/>
      <c r="P110" s="1004">
        <v>134780.09</v>
      </c>
      <c r="Q110" s="1252"/>
      <c r="R110" s="1502">
        <f t="shared" si="5"/>
        <v>2140067.06</v>
      </c>
      <c r="S110" s="1532"/>
      <c r="T110" s="1532"/>
      <c r="U110" s="828"/>
      <c r="V110" s="828"/>
      <c r="W110" s="828"/>
      <c r="X110" s="828"/>
      <c r="Y110" s="828"/>
      <c r="Z110" s="828"/>
    </row>
    <row r="111" spans="1:26" ht="13.5" hidden="1" customHeight="1" thickBot="1">
      <c r="A111" s="2503">
        <v>42705</v>
      </c>
      <c r="B111" s="2529">
        <v>68313.55</v>
      </c>
      <c r="C111" s="2529">
        <v>15830.6</v>
      </c>
      <c r="D111" s="2529"/>
      <c r="E111" s="2530">
        <v>61563.42</v>
      </c>
      <c r="F111" s="2531">
        <v>8400</v>
      </c>
      <c r="G111" s="2530"/>
      <c r="H111" s="2530"/>
      <c r="I111" s="2530">
        <v>452118.14</v>
      </c>
      <c r="J111" s="2532"/>
      <c r="K111" s="2532"/>
      <c r="L111" s="2532"/>
      <c r="M111" s="2530"/>
      <c r="N111" s="2530"/>
      <c r="O111" s="2530"/>
      <c r="P111" s="2510"/>
      <c r="Q111" s="2533"/>
      <c r="R111" s="2541">
        <f t="shared" si="5"/>
        <v>606225.71</v>
      </c>
      <c r="S111" s="1532"/>
      <c r="T111" s="1532"/>
      <c r="U111" s="828"/>
      <c r="V111" s="828"/>
      <c r="W111" s="828"/>
      <c r="X111" s="828"/>
      <c r="Y111" s="828"/>
      <c r="Z111" s="828"/>
    </row>
    <row r="112" spans="1:26" ht="13.5" hidden="1" customHeight="1" thickBot="1">
      <c r="A112" s="2476">
        <v>42736</v>
      </c>
      <c r="B112" s="2542">
        <v>28935.35</v>
      </c>
      <c r="C112" s="1513"/>
      <c r="D112" s="1513"/>
      <c r="E112" s="2478"/>
      <c r="F112" s="2543"/>
      <c r="G112" s="2543"/>
      <c r="H112" s="2544"/>
      <c r="I112" s="2544"/>
      <c r="J112" s="2544"/>
      <c r="K112" s="2544">
        <v>196868.8</v>
      </c>
      <c r="L112" s="1513"/>
      <c r="M112" s="2545"/>
      <c r="N112" s="2546"/>
      <c r="O112" s="2546"/>
      <c r="P112" s="2546"/>
      <c r="Q112" s="2477"/>
      <c r="R112" s="2479">
        <f>SUM(C112:Q112)</f>
        <v>196868.8</v>
      </c>
      <c r="S112" s="1532"/>
      <c r="T112" s="1532"/>
      <c r="U112" s="828"/>
      <c r="V112" s="828"/>
      <c r="W112" s="828"/>
      <c r="X112" s="828"/>
      <c r="Y112" s="828"/>
      <c r="Z112" s="828"/>
    </row>
    <row r="113" spans="1:26" ht="13.5" hidden="1" customHeight="1">
      <c r="A113" s="1256">
        <v>42767</v>
      </c>
      <c r="B113" s="2550">
        <v>123686.91</v>
      </c>
      <c r="C113" s="2551"/>
      <c r="D113" s="2552"/>
      <c r="E113" s="2553">
        <v>33989.96</v>
      </c>
      <c r="F113" s="2552">
        <v>40981.31</v>
      </c>
      <c r="G113" s="2552">
        <v>95623.2</v>
      </c>
      <c r="H113" s="2554"/>
      <c r="I113" s="2554">
        <v>168287.26</v>
      </c>
      <c r="J113" s="2554"/>
      <c r="K113" s="2554">
        <v>45527.040000000001</v>
      </c>
      <c r="L113" s="2552"/>
      <c r="M113" s="2551"/>
      <c r="N113" s="2555"/>
      <c r="O113" s="2555"/>
      <c r="P113" s="2555"/>
      <c r="Q113" s="2556"/>
      <c r="R113" s="1515">
        <f>SUM(C113:Q113)</f>
        <v>384408.76999999996</v>
      </c>
      <c r="S113" s="1532"/>
      <c r="T113" s="1532"/>
      <c r="U113" s="828"/>
      <c r="V113" s="828"/>
      <c r="W113" s="828"/>
      <c r="X113" s="828"/>
      <c r="Y113" s="828"/>
      <c r="Z113" s="828"/>
    </row>
    <row r="114" spans="1:26" ht="13.5" hidden="1" customHeight="1">
      <c r="A114" s="1254">
        <v>42795</v>
      </c>
      <c r="B114" s="1520">
        <v>85258.2</v>
      </c>
      <c r="C114" s="1521"/>
      <c r="D114" s="1522"/>
      <c r="E114" s="1510">
        <v>625718.01</v>
      </c>
      <c r="F114" s="1522">
        <v>2923.23</v>
      </c>
      <c r="G114" s="1522">
        <v>20394.599999999999</v>
      </c>
      <c r="H114" s="1523"/>
      <c r="I114" s="1523"/>
      <c r="J114" s="1523"/>
      <c r="K114" s="1523"/>
      <c r="L114" s="1522"/>
      <c r="M114" s="1521"/>
      <c r="N114" s="1524"/>
      <c r="O114" s="1524"/>
      <c r="P114" s="1524"/>
      <c r="Q114" s="1525"/>
      <c r="R114" s="1526">
        <f t="shared" ref="R114:R130" si="6">SUM(B114:Q114)</f>
        <v>734294.03999999992</v>
      </c>
      <c r="S114" s="1532"/>
      <c r="T114" s="1532"/>
      <c r="U114" s="828"/>
      <c r="V114" s="828"/>
      <c r="W114" s="828"/>
      <c r="X114" s="828"/>
      <c r="Y114" s="828"/>
      <c r="Z114" s="828"/>
    </row>
    <row r="115" spans="1:26" ht="13.5" hidden="1" customHeight="1">
      <c r="A115" s="1254">
        <v>42826</v>
      </c>
      <c r="B115" s="1520">
        <v>132841</v>
      </c>
      <c r="C115" s="1521"/>
      <c r="D115" s="1522"/>
      <c r="E115" s="1510">
        <v>57486</v>
      </c>
      <c r="F115" s="1522">
        <v>976.15</v>
      </c>
      <c r="G115" s="1522">
        <v>72447</v>
      </c>
      <c r="H115" s="1523"/>
      <c r="I115" s="1523"/>
      <c r="J115" s="1523"/>
      <c r="K115" s="1523">
        <v>1011232.44</v>
      </c>
      <c r="L115" s="1522"/>
      <c r="M115" s="1521"/>
      <c r="N115" s="1524"/>
      <c r="O115" s="1524"/>
      <c r="P115" s="1524"/>
      <c r="Q115" s="1525"/>
      <c r="R115" s="1526">
        <f t="shared" si="6"/>
        <v>1274982.5899999999</v>
      </c>
      <c r="S115" s="1532"/>
      <c r="T115" s="1532"/>
      <c r="U115" s="828"/>
      <c r="V115" s="828"/>
      <c r="W115" s="828"/>
      <c r="X115" s="828"/>
      <c r="Y115" s="828"/>
      <c r="Z115" s="828"/>
    </row>
    <row r="116" spans="1:26" ht="13.5" hidden="1" customHeight="1">
      <c r="A116" s="1254">
        <v>42856</v>
      </c>
      <c r="B116" s="1520">
        <v>24754.34</v>
      </c>
      <c r="C116" s="1521"/>
      <c r="D116" s="1522"/>
      <c r="E116" s="1510"/>
      <c r="F116" s="1522"/>
      <c r="G116" s="1522"/>
      <c r="H116" s="1523"/>
      <c r="I116" s="1523">
        <v>0</v>
      </c>
      <c r="J116" s="1523"/>
      <c r="K116" s="1523"/>
      <c r="L116" s="1522">
        <v>140410.32</v>
      </c>
      <c r="M116" s="1521">
        <v>82080</v>
      </c>
      <c r="N116" s="1524"/>
      <c r="O116" s="1524"/>
      <c r="P116" s="1524"/>
      <c r="Q116" s="1525"/>
      <c r="R116" s="1526">
        <f t="shared" si="6"/>
        <v>247244.66</v>
      </c>
      <c r="S116" s="1532"/>
      <c r="T116" s="1532"/>
      <c r="U116" s="828"/>
      <c r="V116" s="828"/>
      <c r="W116" s="828"/>
      <c r="X116" s="828"/>
      <c r="Y116" s="828"/>
      <c r="Z116" s="828"/>
    </row>
    <row r="117" spans="1:26" ht="15.75" hidden="1" customHeight="1">
      <c r="A117" s="1254">
        <v>42887</v>
      </c>
      <c r="B117" s="1520">
        <v>121329.34</v>
      </c>
      <c r="C117" s="1521"/>
      <c r="D117" s="1522"/>
      <c r="E117" s="1510"/>
      <c r="F117" s="1522"/>
      <c r="G117" s="1522"/>
      <c r="H117" s="1523"/>
      <c r="I117" s="1523"/>
      <c r="J117" s="1523"/>
      <c r="K117" s="1523"/>
      <c r="L117" s="1522"/>
      <c r="M117" s="1521"/>
      <c r="N117" s="1524"/>
      <c r="O117" s="1524"/>
      <c r="P117" s="1524"/>
      <c r="Q117" s="1525"/>
      <c r="R117" s="1526">
        <f t="shared" si="6"/>
        <v>121329.34</v>
      </c>
      <c r="S117" s="1532"/>
      <c r="T117" s="1532"/>
      <c r="U117" s="828"/>
      <c r="V117" s="828"/>
      <c r="W117" s="828"/>
      <c r="X117" s="828"/>
      <c r="Y117" s="828"/>
      <c r="Z117" s="828"/>
    </row>
    <row r="118" spans="1:26" ht="13.5" hidden="1" customHeight="1">
      <c r="A118" s="1254">
        <v>42917</v>
      </c>
      <c r="B118" s="1520">
        <v>63097.42</v>
      </c>
      <c r="C118" s="1521">
        <v>47040</v>
      </c>
      <c r="D118" s="1522"/>
      <c r="E118" s="1510">
        <v>267209.59999999998</v>
      </c>
      <c r="F118" s="1522">
        <v>28743.4</v>
      </c>
      <c r="G118" s="1522">
        <v>45858.400000000001</v>
      </c>
      <c r="H118" s="1523"/>
      <c r="I118" s="1523">
        <v>98275.77</v>
      </c>
      <c r="J118" s="1523"/>
      <c r="K118" s="1523">
        <v>82527.83</v>
      </c>
      <c r="L118" s="1522"/>
      <c r="M118" s="1521"/>
      <c r="N118" s="1524"/>
      <c r="O118" s="1524"/>
      <c r="P118" s="1524"/>
      <c r="Q118" s="1525"/>
      <c r="R118" s="1526">
        <f t="shared" si="6"/>
        <v>632752.41999999993</v>
      </c>
      <c r="S118" s="1532"/>
      <c r="T118" s="1532"/>
      <c r="U118" s="828"/>
      <c r="V118" s="828"/>
      <c r="W118" s="828"/>
      <c r="X118" s="828"/>
      <c r="Y118" s="828"/>
      <c r="Z118" s="828"/>
    </row>
    <row r="119" spans="1:26" ht="13.5" hidden="1" customHeight="1">
      <c r="A119" s="1255">
        <v>42948</v>
      </c>
      <c r="B119" s="1520">
        <v>38974.06</v>
      </c>
      <c r="C119" s="1521"/>
      <c r="D119" s="1522"/>
      <c r="E119" s="1510">
        <v>43303.74</v>
      </c>
      <c r="F119" s="1522"/>
      <c r="G119" s="1522">
        <v>31920</v>
      </c>
      <c r="H119" s="1523"/>
      <c r="I119" s="1523"/>
      <c r="J119" s="1523"/>
      <c r="K119" s="1523"/>
      <c r="L119" s="1522"/>
      <c r="M119" s="1521"/>
      <c r="N119" s="1524"/>
      <c r="O119" s="1524"/>
      <c r="P119" s="1524"/>
      <c r="Q119" s="1525"/>
      <c r="R119" s="1526">
        <f t="shared" si="6"/>
        <v>114197.79999999999</v>
      </c>
      <c r="S119" s="1532"/>
      <c r="T119" s="1532"/>
      <c r="U119" s="828"/>
      <c r="V119" s="828"/>
      <c r="W119" s="828"/>
      <c r="X119" s="828"/>
      <c r="Y119" s="828"/>
      <c r="Z119" s="828"/>
    </row>
    <row r="120" spans="1:26" ht="13.5" hidden="1" customHeight="1">
      <c r="A120" s="1255">
        <v>42979</v>
      </c>
      <c r="B120" s="1520">
        <v>43048.35</v>
      </c>
      <c r="C120" s="1521">
        <v>6160</v>
      </c>
      <c r="D120" s="1522"/>
      <c r="E120" s="1510">
        <v>155181.6</v>
      </c>
      <c r="F120" s="1522"/>
      <c r="G120" s="1522"/>
      <c r="H120" s="1523"/>
      <c r="I120" s="1523"/>
      <c r="J120" s="1523"/>
      <c r="K120" s="1523"/>
      <c r="L120" s="1522"/>
      <c r="M120" s="1521"/>
      <c r="N120" s="1524"/>
      <c r="O120" s="1524"/>
      <c r="P120" s="1524"/>
      <c r="Q120" s="1525"/>
      <c r="R120" s="1526">
        <f t="shared" si="6"/>
        <v>204389.95</v>
      </c>
      <c r="S120" s="1532"/>
      <c r="T120" s="1532"/>
      <c r="U120" s="828"/>
      <c r="V120" s="828"/>
      <c r="W120" s="828"/>
      <c r="X120" s="828"/>
      <c r="Y120" s="828"/>
      <c r="Z120" s="828"/>
    </row>
    <row r="121" spans="1:26" ht="13.5" customHeight="1">
      <c r="A121" s="1255">
        <v>43009</v>
      </c>
      <c r="B121" s="1520">
        <v>124409.59</v>
      </c>
      <c r="C121" s="1521"/>
      <c r="D121" s="1522"/>
      <c r="E121" s="1510">
        <v>337122.51</v>
      </c>
      <c r="F121" s="1522">
        <v>127845.5</v>
      </c>
      <c r="G121" s="1522">
        <v>44520</v>
      </c>
      <c r="H121" s="1523"/>
      <c r="I121" s="1523">
        <v>167197.98000000001</v>
      </c>
      <c r="J121" s="1523"/>
      <c r="K121" s="1523">
        <v>116043.86</v>
      </c>
      <c r="L121" s="1522"/>
      <c r="M121" s="1521"/>
      <c r="N121" s="1524"/>
      <c r="O121" s="1524"/>
      <c r="P121" s="1524"/>
      <c r="Q121" s="1525"/>
      <c r="R121" s="1526">
        <f t="shared" si="6"/>
        <v>917139.44</v>
      </c>
      <c r="S121" s="1532"/>
      <c r="T121" s="1532"/>
      <c r="U121" s="828"/>
      <c r="V121" s="828"/>
      <c r="W121" s="828"/>
      <c r="X121" s="828"/>
      <c r="Y121" s="828"/>
      <c r="Z121" s="828"/>
    </row>
    <row r="122" spans="1:26" ht="13.5" customHeight="1">
      <c r="A122" s="1255">
        <v>43040</v>
      </c>
      <c r="B122" s="1520">
        <v>97753.56</v>
      </c>
      <c r="C122" s="1521"/>
      <c r="D122" s="1522"/>
      <c r="E122" s="1510">
        <v>523515.72</v>
      </c>
      <c r="F122" s="1522"/>
      <c r="G122" s="1522">
        <v>28571.200000000001</v>
      </c>
      <c r="H122" s="1523"/>
      <c r="I122" s="1523"/>
      <c r="J122" s="1523"/>
      <c r="K122" s="1523"/>
      <c r="L122" s="1522"/>
      <c r="M122" s="1521"/>
      <c r="N122" s="1524">
        <v>16598.400000000001</v>
      </c>
      <c r="O122" s="1524"/>
      <c r="P122" s="1524"/>
      <c r="Q122" s="1525"/>
      <c r="R122" s="1526">
        <f t="shared" si="6"/>
        <v>666438.88</v>
      </c>
      <c r="S122" s="1532"/>
      <c r="T122" s="1532"/>
      <c r="U122" s="828"/>
      <c r="V122" s="828"/>
      <c r="W122" s="828"/>
      <c r="X122" s="828"/>
      <c r="Y122" s="828"/>
      <c r="Z122" s="828"/>
    </row>
    <row r="123" spans="1:26" ht="13.5" customHeight="1" thickBot="1">
      <c r="A123" s="2518">
        <v>43070</v>
      </c>
      <c r="B123" s="2557">
        <v>92207.95</v>
      </c>
      <c r="C123" s="2558"/>
      <c r="D123" s="2559"/>
      <c r="E123" s="2560">
        <v>726245.09</v>
      </c>
      <c r="F123" s="2559"/>
      <c r="G123" s="2559"/>
      <c r="H123" s="2561"/>
      <c r="I123" s="2561"/>
      <c r="J123" s="2561"/>
      <c r="K123" s="2561">
        <v>133572.95000000001</v>
      </c>
      <c r="L123" s="2559"/>
      <c r="M123" s="2558"/>
      <c r="N123" s="2562"/>
      <c r="O123" s="2562"/>
      <c r="P123" s="2562">
        <v>45449.599999999999</v>
      </c>
      <c r="Q123" s="2563">
        <v>11109.16</v>
      </c>
      <c r="R123" s="2564">
        <f t="shared" si="6"/>
        <v>1008584.75</v>
      </c>
      <c r="S123" s="1532"/>
      <c r="T123" s="1532"/>
      <c r="U123" s="828"/>
      <c r="V123" s="828"/>
      <c r="W123" s="828"/>
      <c r="X123" s="828"/>
      <c r="Y123" s="828"/>
      <c r="Z123" s="828"/>
    </row>
    <row r="124" spans="1:26" ht="13.5" customHeight="1">
      <c r="A124" s="2476">
        <v>43101</v>
      </c>
      <c r="B124" s="2547">
        <v>9968</v>
      </c>
      <c r="C124" s="2548"/>
      <c r="D124" s="1511"/>
      <c r="E124" s="2534"/>
      <c r="F124" s="1511"/>
      <c r="G124" s="1511">
        <v>31004.959999999999</v>
      </c>
      <c r="H124" s="1512"/>
      <c r="I124" s="1512"/>
      <c r="J124" s="1512">
        <v>237120</v>
      </c>
      <c r="K124" s="1512"/>
      <c r="L124" s="1511"/>
      <c r="M124" s="2548"/>
      <c r="N124" s="1514"/>
      <c r="O124" s="1514"/>
      <c r="P124" s="1514"/>
      <c r="Q124" s="2549"/>
      <c r="R124" s="2535">
        <f t="shared" si="6"/>
        <v>278092.96000000002</v>
      </c>
      <c r="S124" s="1532"/>
      <c r="T124" s="1532"/>
      <c r="U124" s="828"/>
      <c r="V124" s="828"/>
      <c r="W124" s="828"/>
      <c r="X124" s="828"/>
      <c r="Y124" s="828"/>
      <c r="Z124" s="828"/>
    </row>
    <row r="125" spans="1:26" ht="13.5" customHeight="1">
      <c r="A125" s="1255">
        <v>43132</v>
      </c>
      <c r="B125" s="1520">
        <v>168900.49</v>
      </c>
      <c r="C125" s="1521"/>
      <c r="D125" s="1522"/>
      <c r="E125" s="1510">
        <v>93945.600000000006</v>
      </c>
      <c r="F125" s="1522">
        <v>35884.19</v>
      </c>
      <c r="G125" s="1522"/>
      <c r="H125" s="1523"/>
      <c r="I125" s="1523">
        <v>159866.29999999999</v>
      </c>
      <c r="J125" s="1523">
        <v>309145.02</v>
      </c>
      <c r="K125" s="1523"/>
      <c r="L125" s="1522"/>
      <c r="M125" s="1521"/>
      <c r="N125" s="1524"/>
      <c r="O125" s="1524"/>
      <c r="P125" s="1524"/>
      <c r="Q125" s="1525"/>
      <c r="R125" s="1526">
        <f t="shared" si="6"/>
        <v>767741.6</v>
      </c>
      <c r="S125" s="1532"/>
      <c r="T125" s="1532"/>
      <c r="U125" s="828"/>
      <c r="V125" s="828"/>
      <c r="W125" s="828"/>
      <c r="X125" s="828"/>
      <c r="Y125" s="828"/>
      <c r="Z125" s="828"/>
    </row>
    <row r="126" spans="1:26" ht="13.5" customHeight="1">
      <c r="A126" s="1255">
        <v>43160</v>
      </c>
      <c r="B126" s="1520">
        <v>116243.44</v>
      </c>
      <c r="C126" s="1521"/>
      <c r="D126" s="1522"/>
      <c r="E126" s="1510">
        <v>255259.2</v>
      </c>
      <c r="F126" s="1522"/>
      <c r="G126" s="1522">
        <v>59136</v>
      </c>
      <c r="H126" s="1523"/>
      <c r="I126" s="1523"/>
      <c r="J126" s="1523"/>
      <c r="K126" s="1523"/>
      <c r="L126" s="1522"/>
      <c r="M126" s="1521"/>
      <c r="N126" s="1524"/>
      <c r="O126" s="1524"/>
      <c r="P126" s="1524"/>
      <c r="Q126" s="1525"/>
      <c r="R126" s="1526">
        <f t="shared" si="6"/>
        <v>430638.64</v>
      </c>
      <c r="S126" s="1532"/>
      <c r="T126" s="1532"/>
      <c r="U126" s="828"/>
      <c r="V126" s="828"/>
      <c r="W126" s="828"/>
      <c r="X126" s="828"/>
      <c r="Y126" s="828"/>
      <c r="Z126" s="828"/>
    </row>
    <row r="127" spans="1:26" ht="13.5" customHeight="1">
      <c r="A127" s="1255">
        <v>43191</v>
      </c>
      <c r="B127" s="1520">
        <v>110932.39</v>
      </c>
      <c r="C127" s="1766">
        <v>32480</v>
      </c>
      <c r="D127" s="1522"/>
      <c r="E127" s="1767">
        <v>492381.85</v>
      </c>
      <c r="F127" s="1768">
        <v>69262.740000000005</v>
      </c>
      <c r="G127" s="1522"/>
      <c r="H127" s="1523"/>
      <c r="I127" s="1523"/>
      <c r="J127" s="1769">
        <v>863405.43</v>
      </c>
      <c r="K127" s="1523"/>
      <c r="L127" s="1522"/>
      <c r="M127" s="1521"/>
      <c r="N127" s="1524"/>
      <c r="O127" s="1524"/>
      <c r="P127" s="1524"/>
      <c r="Q127" s="1525"/>
      <c r="R127" s="1526">
        <f t="shared" si="6"/>
        <v>1568462.4100000001</v>
      </c>
      <c r="S127" s="1532"/>
      <c r="T127" s="1532"/>
      <c r="U127" s="828"/>
      <c r="V127" s="828"/>
      <c r="W127" s="828"/>
      <c r="X127" s="828"/>
      <c r="Y127" s="828"/>
      <c r="Z127" s="828"/>
    </row>
    <row r="128" spans="1:26" ht="17.25" customHeight="1">
      <c r="A128" s="1255">
        <v>43221</v>
      </c>
      <c r="B128" s="1520">
        <v>94108.29</v>
      </c>
      <c r="C128" s="1766"/>
      <c r="D128" s="1522"/>
      <c r="E128" s="1767">
        <v>404460.22</v>
      </c>
      <c r="F128" s="1768"/>
      <c r="G128" s="1522"/>
      <c r="H128" s="1523"/>
      <c r="I128" s="1523">
        <v>194812.55</v>
      </c>
      <c r="J128" s="1769"/>
      <c r="K128" s="1523"/>
      <c r="L128" s="1522">
        <v>188353.21</v>
      </c>
      <c r="M128" s="1521"/>
      <c r="N128" s="1524"/>
      <c r="O128" s="1524"/>
      <c r="P128" s="1524"/>
      <c r="Q128" s="1525"/>
      <c r="R128" s="1526">
        <f t="shared" si="6"/>
        <v>881734.2699999999</v>
      </c>
      <c r="S128" s="1532"/>
      <c r="T128" s="1532"/>
      <c r="U128" s="828"/>
      <c r="V128" s="828"/>
      <c r="W128" s="828"/>
      <c r="X128" s="828"/>
      <c r="Y128" s="828"/>
      <c r="Z128" s="828"/>
    </row>
    <row r="129" spans="1:26" ht="17.25" customHeight="1">
      <c r="A129" s="1255">
        <v>43252</v>
      </c>
      <c r="B129" s="1520">
        <v>62570.76</v>
      </c>
      <c r="C129" s="1766"/>
      <c r="D129" s="1522"/>
      <c r="E129" s="1767">
        <v>138410.12</v>
      </c>
      <c r="F129" s="1768"/>
      <c r="G129" s="1522"/>
      <c r="H129" s="1523"/>
      <c r="I129" s="1523"/>
      <c r="J129" s="1769"/>
      <c r="K129" s="1523">
        <v>76945.119999999995</v>
      </c>
      <c r="L129" s="1522"/>
      <c r="M129" s="1521"/>
      <c r="N129" s="1524"/>
      <c r="O129" s="1524"/>
      <c r="P129" s="1524"/>
      <c r="Q129" s="1525"/>
      <c r="R129" s="1526">
        <f t="shared" si="6"/>
        <v>277926</v>
      </c>
      <c r="S129" s="1532"/>
      <c r="T129" s="1532"/>
      <c r="U129" s="828"/>
      <c r="V129" s="828"/>
      <c r="W129" s="828"/>
      <c r="X129" s="828"/>
      <c r="Y129" s="828"/>
      <c r="Z129" s="828"/>
    </row>
    <row r="130" spans="1:26" ht="17.25" customHeight="1">
      <c r="A130" s="1255">
        <v>43282</v>
      </c>
      <c r="B130" s="1520">
        <v>76102.7</v>
      </c>
      <c r="C130" s="1766"/>
      <c r="D130" s="1522"/>
      <c r="E130" s="1767"/>
      <c r="F130" s="1768">
        <v>89602.06</v>
      </c>
      <c r="G130" s="1522"/>
      <c r="H130" s="1523"/>
      <c r="I130" s="1523"/>
      <c r="J130" s="1769"/>
      <c r="K130" s="1523"/>
      <c r="L130" s="1522"/>
      <c r="M130" s="1521"/>
      <c r="N130" s="1524"/>
      <c r="O130" s="1524"/>
      <c r="P130" s="1524"/>
      <c r="Q130" s="1525"/>
      <c r="R130" s="1526">
        <f t="shared" si="6"/>
        <v>165704.76</v>
      </c>
      <c r="S130" s="1532"/>
      <c r="T130" s="1532"/>
      <c r="U130" s="828"/>
      <c r="V130" s="828"/>
      <c r="W130" s="828"/>
      <c r="X130" s="828"/>
      <c r="Y130" s="828"/>
      <c r="Z130" s="828"/>
    </row>
    <row r="131" spans="1:26" ht="17.25" customHeight="1">
      <c r="A131" s="1255">
        <v>43313</v>
      </c>
      <c r="B131" s="1520">
        <v>41460.82</v>
      </c>
      <c r="C131" s="1766">
        <v>22288</v>
      </c>
      <c r="D131" s="1522"/>
      <c r="E131" s="1767">
        <v>198723.39</v>
      </c>
      <c r="F131" s="1768"/>
      <c r="G131" s="1522">
        <v>23472.959999999999</v>
      </c>
      <c r="H131" s="1523"/>
      <c r="I131" s="1523"/>
      <c r="J131" s="1769">
        <v>852697.33</v>
      </c>
      <c r="K131" s="1523"/>
      <c r="L131" s="1522"/>
      <c r="M131" s="1521"/>
      <c r="N131" s="1524"/>
      <c r="O131" s="1524"/>
      <c r="P131" s="1524"/>
      <c r="Q131" s="1525"/>
      <c r="R131" s="1526">
        <f t="shared" ref="R131:R133" si="7">SUM(B131:Q131)</f>
        <v>1138642.5</v>
      </c>
      <c r="S131" s="1532"/>
      <c r="T131" s="1532"/>
      <c r="U131" s="828"/>
      <c r="V131" s="828"/>
      <c r="W131" s="828"/>
      <c r="X131" s="828"/>
      <c r="Y131" s="828"/>
      <c r="Z131" s="828"/>
    </row>
    <row r="132" spans="1:26" ht="17.25" customHeight="1">
      <c r="A132" s="1255">
        <v>43344</v>
      </c>
      <c r="B132" s="4053">
        <v>72882.399999999994</v>
      </c>
      <c r="C132" s="4060"/>
      <c r="D132" s="4055"/>
      <c r="E132" s="4061"/>
      <c r="F132" s="4062">
        <v>14689.92</v>
      </c>
      <c r="G132" s="4055"/>
      <c r="H132" s="4056"/>
      <c r="I132" s="4056"/>
      <c r="J132" s="4063"/>
      <c r="K132" s="4056"/>
      <c r="L132" s="4055"/>
      <c r="M132" s="4054"/>
      <c r="N132" s="4057"/>
      <c r="O132" s="4057"/>
      <c r="P132" s="4057"/>
      <c r="Q132" s="4058"/>
      <c r="R132" s="4059">
        <f t="shared" si="7"/>
        <v>87572.319999999992</v>
      </c>
      <c r="S132" s="1532"/>
      <c r="T132" s="1532"/>
      <c r="U132" s="828"/>
      <c r="V132" s="828"/>
      <c r="W132" s="828"/>
      <c r="X132" s="828"/>
      <c r="Y132" s="828"/>
      <c r="Z132" s="828"/>
    </row>
    <row r="133" spans="1:26" ht="17.25" customHeight="1" thickBot="1">
      <c r="A133" s="1255">
        <v>43374</v>
      </c>
      <c r="B133" s="4053">
        <v>90158</v>
      </c>
      <c r="C133" s="4060"/>
      <c r="D133" s="4055"/>
      <c r="E133" s="4061">
        <v>80166.240000000005</v>
      </c>
      <c r="F133" s="4062"/>
      <c r="G133" s="4055"/>
      <c r="H133" s="4056"/>
      <c r="I133" s="4056"/>
      <c r="J133" s="4063"/>
      <c r="K133" s="4056"/>
      <c r="L133" s="4055"/>
      <c r="M133" s="4054"/>
      <c r="N133" s="4057"/>
      <c r="O133" s="4057"/>
      <c r="P133" s="4057"/>
      <c r="Q133" s="4058"/>
      <c r="R133" s="4059">
        <f t="shared" si="7"/>
        <v>170324.24</v>
      </c>
      <c r="S133" s="1532"/>
      <c r="T133" s="1532"/>
      <c r="U133" s="828"/>
      <c r="V133" s="828"/>
      <c r="W133" s="828"/>
      <c r="X133" s="828"/>
      <c r="Y133" s="828"/>
      <c r="Z133" s="828"/>
    </row>
    <row r="134" spans="1:26" ht="19.5" customHeight="1" thickBot="1">
      <c r="A134" s="2719" t="s">
        <v>862</v>
      </c>
      <c r="B134" s="1530">
        <f>SUM(B124:B133)</f>
        <v>843327.28999999992</v>
      </c>
      <c r="C134" s="1530">
        <f t="shared" ref="C134:Q134" si="8">SUM(C124:C133)</f>
        <v>54768</v>
      </c>
      <c r="D134" s="1530">
        <f t="shared" si="8"/>
        <v>0</v>
      </c>
      <c r="E134" s="1530">
        <f t="shared" si="8"/>
        <v>1663346.6200000003</v>
      </c>
      <c r="F134" s="1530">
        <f t="shared" si="8"/>
        <v>209438.91</v>
      </c>
      <c r="G134" s="1530">
        <f t="shared" si="8"/>
        <v>113613.91999999998</v>
      </c>
      <c r="H134" s="1530">
        <f t="shared" si="8"/>
        <v>0</v>
      </c>
      <c r="I134" s="1530">
        <f t="shared" si="8"/>
        <v>354678.85</v>
      </c>
      <c r="J134" s="1530">
        <f t="shared" si="8"/>
        <v>2262367.7800000003</v>
      </c>
      <c r="K134" s="1530">
        <f t="shared" si="8"/>
        <v>76945.119999999995</v>
      </c>
      <c r="L134" s="1530">
        <f t="shared" si="8"/>
        <v>188353.21</v>
      </c>
      <c r="M134" s="1530">
        <f t="shared" si="8"/>
        <v>0</v>
      </c>
      <c r="N134" s="1530">
        <f t="shared" si="8"/>
        <v>0</v>
      </c>
      <c r="O134" s="1530">
        <f t="shared" si="8"/>
        <v>0</v>
      </c>
      <c r="P134" s="1530">
        <f t="shared" si="8"/>
        <v>0</v>
      </c>
      <c r="Q134" s="1530">
        <f t="shared" si="8"/>
        <v>0</v>
      </c>
      <c r="R134" s="1532"/>
      <c r="S134" s="1532"/>
      <c r="T134" s="828"/>
      <c r="U134" s="828"/>
      <c r="V134" s="828"/>
      <c r="W134" s="828"/>
      <c r="X134" s="828"/>
      <c r="Y134" s="828"/>
    </row>
    <row r="135" spans="1:26" ht="13.5" customHeight="1">
      <c r="A135" s="1531"/>
      <c r="B135" s="1532"/>
      <c r="C135" s="1532"/>
      <c r="D135" s="1532"/>
      <c r="E135" s="1532"/>
      <c r="F135" s="1532"/>
      <c r="G135" s="1532"/>
      <c r="H135" s="1532"/>
      <c r="I135" s="1532"/>
      <c r="J135" s="1532"/>
      <c r="K135" s="1532"/>
      <c r="L135" s="1532"/>
      <c r="M135" s="1532"/>
      <c r="N135" s="1532"/>
      <c r="O135" s="1532"/>
      <c r="P135" s="1532"/>
      <c r="Q135" s="1532"/>
      <c r="R135" s="1532"/>
      <c r="S135" s="1532"/>
      <c r="T135" s="828"/>
      <c r="U135" s="828"/>
      <c r="V135" s="828"/>
      <c r="W135" s="828"/>
      <c r="X135" s="828"/>
      <c r="Y135" s="828"/>
    </row>
    <row r="136" spans="1:26" ht="13.5" customHeight="1">
      <c r="A136" s="1531"/>
      <c r="B136" s="1532"/>
      <c r="C136" s="1532"/>
      <c r="D136" s="1532"/>
      <c r="E136" s="1532"/>
      <c r="F136" s="1532"/>
      <c r="G136" s="1532"/>
      <c r="H136" s="1532"/>
      <c r="I136" s="1532"/>
      <c r="J136" s="1532"/>
      <c r="K136" s="1532"/>
      <c r="L136" s="1532"/>
      <c r="M136" s="1532"/>
      <c r="N136" s="1532"/>
      <c r="O136" s="1532"/>
      <c r="P136" s="1532"/>
      <c r="Q136" s="1532"/>
      <c r="R136" s="1532"/>
      <c r="S136" s="1532"/>
      <c r="T136" s="828"/>
      <c r="U136" s="828"/>
      <c r="V136" s="828"/>
      <c r="W136" s="828"/>
      <c r="X136" s="828"/>
      <c r="Y136" s="828"/>
    </row>
    <row r="137" spans="1:26" ht="13.5" customHeight="1">
      <c r="A137" s="1531"/>
      <c r="B137" s="1532"/>
      <c r="C137" s="1532"/>
      <c r="D137" s="1532"/>
      <c r="E137" s="1532"/>
      <c r="F137" s="1532"/>
      <c r="G137" s="1532"/>
      <c r="H137" s="1532"/>
      <c r="I137" s="1532"/>
      <c r="J137" s="1532"/>
      <c r="K137" s="1532"/>
      <c r="L137" s="1532"/>
      <c r="M137" s="1532"/>
      <c r="N137" s="1532"/>
      <c r="O137" s="1532"/>
      <c r="P137" s="1532"/>
      <c r="Q137" s="1532"/>
      <c r="R137" s="1532"/>
      <c r="S137" s="1532"/>
      <c r="T137" s="828"/>
      <c r="U137" s="828"/>
      <c r="V137" s="828"/>
      <c r="W137" s="828"/>
      <c r="X137" s="828"/>
      <c r="Y137" s="828"/>
    </row>
    <row r="138" spans="1:26" ht="13.5" customHeight="1">
      <c r="A138" s="1531"/>
      <c r="B138" s="1532"/>
      <c r="C138" s="1532"/>
      <c r="D138" s="1532"/>
      <c r="E138" s="1532"/>
      <c r="F138" s="1532"/>
      <c r="G138" s="1532"/>
      <c r="H138" s="1532"/>
      <c r="I138" s="1532"/>
      <c r="J138" s="1532"/>
      <c r="K138" s="1532"/>
      <c r="L138" s="1532"/>
      <c r="M138" s="1532"/>
      <c r="N138" s="1532"/>
      <c r="O138" s="1532"/>
      <c r="P138" s="1532"/>
      <c r="Q138" s="1532"/>
      <c r="R138" s="1532"/>
      <c r="S138" s="1532"/>
      <c r="T138" s="828"/>
      <c r="U138" s="828"/>
      <c r="V138" s="828"/>
      <c r="W138" s="828"/>
      <c r="X138" s="828"/>
      <c r="Y138" s="828"/>
    </row>
    <row r="139" spans="1:26" ht="13.5" customHeight="1">
      <c r="A139" s="1531"/>
      <c r="B139" s="1532"/>
      <c r="C139" s="1532"/>
      <c r="D139" s="1532"/>
      <c r="E139" s="1532"/>
      <c r="F139" s="1532"/>
      <c r="G139" s="1532"/>
      <c r="H139" s="1532"/>
      <c r="I139" s="1532"/>
      <c r="J139" s="1532"/>
      <c r="K139" s="1532"/>
      <c r="L139" s="1532"/>
      <c r="M139" s="1532"/>
      <c r="N139" s="1532"/>
      <c r="O139" s="1532"/>
      <c r="P139" s="1532"/>
      <c r="Q139" s="1532"/>
      <c r="R139" s="1532"/>
      <c r="S139" s="1532"/>
      <c r="T139" s="828"/>
      <c r="U139" s="828"/>
      <c r="V139" s="828"/>
      <c r="W139" s="828"/>
      <c r="X139" s="828"/>
      <c r="Y139" s="828"/>
    </row>
    <row r="140" spans="1:26" ht="13.5" customHeight="1">
      <c r="A140" s="1531"/>
      <c r="B140" s="1532"/>
      <c r="C140" s="1532"/>
      <c r="D140" s="1532"/>
      <c r="E140" s="1532"/>
      <c r="F140" s="1532"/>
      <c r="G140" s="1532"/>
      <c r="H140" s="1532"/>
      <c r="I140" s="1532"/>
      <c r="J140" s="1532"/>
      <c r="K140" s="1532"/>
      <c r="L140" s="1532"/>
      <c r="M140" s="1532"/>
      <c r="N140" s="1532"/>
      <c r="O140" s="1532"/>
      <c r="P140" s="1532"/>
      <c r="Q140" s="1532"/>
      <c r="R140" s="1532"/>
      <c r="S140" s="1532"/>
      <c r="T140" s="828"/>
      <c r="U140" s="828"/>
      <c r="V140" s="828"/>
      <c r="W140" s="828"/>
      <c r="X140" s="828"/>
      <c r="Y140" s="828"/>
    </row>
    <row r="141" spans="1:26" ht="13.5" customHeight="1">
      <c r="A141" s="1531"/>
      <c r="B141" s="1532"/>
      <c r="C141" s="1532"/>
      <c r="D141" s="1532"/>
      <c r="E141" s="1532"/>
      <c r="F141" s="1532"/>
      <c r="G141" s="1532"/>
      <c r="H141" s="1532"/>
      <c r="I141" s="1532"/>
      <c r="J141" s="1532"/>
      <c r="K141" s="1532"/>
      <c r="L141" s="1532"/>
      <c r="M141" s="1532"/>
      <c r="N141" s="1532"/>
      <c r="O141" s="1532"/>
      <c r="P141" s="1532"/>
      <c r="Q141" s="1532"/>
      <c r="R141" s="1532"/>
      <c r="S141" s="1532"/>
      <c r="T141" s="828"/>
      <c r="U141" s="828"/>
      <c r="V141" s="828"/>
      <c r="W141" s="828"/>
      <c r="X141" s="828"/>
      <c r="Y141" s="828"/>
    </row>
    <row r="142" spans="1:26" ht="13.5" customHeight="1">
      <c r="A142" s="1531"/>
      <c r="B142" s="1532"/>
      <c r="C142" s="1532"/>
      <c r="D142" s="1532"/>
      <c r="E142" s="1532"/>
      <c r="F142" s="1532"/>
      <c r="G142" s="1532"/>
      <c r="H142" s="1532"/>
      <c r="I142" s="1532"/>
      <c r="J142" s="1532"/>
      <c r="K142" s="1532"/>
      <c r="L142" s="1532"/>
      <c r="M142" s="1532"/>
      <c r="N142" s="1532"/>
      <c r="O142" s="1532"/>
      <c r="P142" s="1532"/>
      <c r="Q142" s="1532"/>
      <c r="R142" s="1532"/>
      <c r="S142" s="1532"/>
      <c r="T142" s="828"/>
      <c r="U142" s="828"/>
      <c r="V142" s="828"/>
      <c r="W142" s="828"/>
      <c r="X142" s="828"/>
      <c r="Y142" s="828"/>
    </row>
    <row r="143" spans="1:26" ht="13.5" customHeight="1">
      <c r="A143" s="1531"/>
      <c r="B143" s="1532"/>
      <c r="C143" s="1532"/>
      <c r="D143" s="1532"/>
      <c r="E143" s="1532"/>
      <c r="F143" s="1532"/>
      <c r="G143" s="1532"/>
      <c r="H143" s="1532"/>
      <c r="I143" s="1532"/>
      <c r="J143" s="1532"/>
      <c r="K143" s="1532"/>
      <c r="L143" s="1532"/>
      <c r="M143" s="1532"/>
      <c r="N143" s="1532"/>
      <c r="O143" s="1532"/>
      <c r="P143" s="1532"/>
      <c r="Q143" s="1532"/>
      <c r="R143" s="1532"/>
      <c r="S143" s="1532"/>
      <c r="T143" s="828"/>
      <c r="U143" s="828"/>
      <c r="V143" s="828"/>
      <c r="W143" s="828"/>
      <c r="X143" s="828"/>
      <c r="Y143" s="828"/>
    </row>
    <row r="144" spans="1:26" ht="13.5" customHeight="1">
      <c r="A144" s="1531"/>
      <c r="B144" s="1532"/>
      <c r="C144" s="1532"/>
      <c r="D144" s="1532"/>
      <c r="E144" s="1532"/>
      <c r="F144" s="1532"/>
      <c r="G144" s="1532"/>
      <c r="H144" s="1532"/>
      <c r="I144" s="1532"/>
      <c r="J144" s="1532"/>
      <c r="K144" s="1532"/>
      <c r="L144" s="1532"/>
      <c r="M144" s="1532"/>
      <c r="N144" s="1532"/>
      <c r="O144" s="1532"/>
      <c r="P144" s="1532"/>
      <c r="Q144" s="1532"/>
      <c r="R144" s="1532"/>
      <c r="S144" s="1532"/>
      <c r="T144" s="828"/>
      <c r="U144" s="828"/>
      <c r="V144" s="828"/>
      <c r="W144" s="828"/>
      <c r="X144" s="828"/>
      <c r="Y144" s="828"/>
    </row>
    <row r="145" spans="1:25" ht="13.5" customHeight="1">
      <c r="A145" s="1531"/>
      <c r="B145" s="1532"/>
      <c r="C145" s="1532"/>
      <c r="D145" s="1532"/>
      <c r="E145" s="1532"/>
      <c r="F145" s="1532"/>
      <c r="G145" s="1532"/>
      <c r="H145" s="1532"/>
      <c r="I145" s="1532"/>
      <c r="J145" s="1532"/>
      <c r="K145" s="1532"/>
      <c r="L145" s="1532"/>
      <c r="M145" s="1532"/>
      <c r="N145" s="1532"/>
      <c r="O145" s="1532"/>
      <c r="P145" s="1532"/>
      <c r="Q145" s="1532"/>
      <c r="R145" s="1532"/>
      <c r="S145" s="1532"/>
      <c r="T145" s="828"/>
      <c r="U145" s="828"/>
      <c r="V145" s="828"/>
      <c r="W145" s="828"/>
      <c r="X145" s="828"/>
      <c r="Y145" s="828"/>
    </row>
    <row r="146" spans="1:25" ht="13.5" customHeight="1">
      <c r="A146" s="1531"/>
      <c r="B146" s="1532"/>
      <c r="C146" s="1532"/>
      <c r="D146" s="1532"/>
      <c r="E146" s="1532"/>
      <c r="F146" s="1532"/>
      <c r="G146" s="1532"/>
      <c r="H146" s="1532"/>
      <c r="I146" s="1532"/>
      <c r="J146" s="1532"/>
      <c r="K146" s="1532"/>
      <c r="L146" s="1532"/>
      <c r="M146" s="1532"/>
      <c r="N146" s="1532"/>
      <c r="O146" s="1532"/>
      <c r="P146" s="1532"/>
      <c r="Q146" s="1532"/>
      <c r="R146" s="1532"/>
      <c r="S146" s="1532"/>
      <c r="T146" s="828"/>
      <c r="U146" s="828"/>
      <c r="V146" s="828"/>
      <c r="W146" s="828"/>
      <c r="X146" s="828"/>
      <c r="Y146" s="828"/>
    </row>
    <row r="147" spans="1:25" ht="13.5" customHeight="1">
      <c r="A147" s="1531"/>
      <c r="B147" s="1532"/>
      <c r="C147" s="1532"/>
      <c r="D147" s="1532"/>
      <c r="E147" s="1532"/>
      <c r="F147" s="1532"/>
      <c r="G147" s="1532"/>
      <c r="H147" s="1532"/>
      <c r="I147" s="1532"/>
      <c r="J147" s="1532"/>
      <c r="K147" s="1532"/>
      <c r="L147" s="1532"/>
      <c r="M147" s="1532"/>
      <c r="N147" s="1532"/>
      <c r="O147" s="1532"/>
      <c r="P147" s="1532"/>
      <c r="Q147" s="1532"/>
      <c r="R147" s="1532"/>
      <c r="S147" s="1532"/>
      <c r="T147" s="828"/>
      <c r="U147" s="828"/>
      <c r="V147" s="828"/>
      <c r="W147" s="828"/>
      <c r="X147" s="828"/>
      <c r="Y147" s="828"/>
    </row>
    <row r="148" spans="1:25" ht="13.5" customHeight="1">
      <c r="A148" s="1531"/>
      <c r="B148" s="1532"/>
      <c r="C148" s="1532"/>
      <c r="D148" s="1532"/>
      <c r="E148" s="1532"/>
      <c r="F148" s="1532"/>
      <c r="G148" s="1532"/>
      <c r="H148" s="1532"/>
      <c r="I148" s="1532"/>
      <c r="J148" s="1532"/>
      <c r="K148" s="1532"/>
      <c r="L148" s="1532"/>
      <c r="M148" s="1532"/>
      <c r="N148" s="1532"/>
      <c r="O148" s="1532"/>
      <c r="P148" s="1532"/>
      <c r="Q148" s="1532"/>
      <c r="R148" s="1532"/>
      <c r="S148" s="1532"/>
      <c r="T148" s="828"/>
      <c r="U148" s="828"/>
      <c r="V148" s="828"/>
      <c r="W148" s="828"/>
      <c r="X148" s="828"/>
      <c r="Y148" s="828"/>
    </row>
    <row r="149" spans="1:25" ht="13.5" customHeight="1">
      <c r="A149" s="1531"/>
      <c r="B149" s="1532"/>
      <c r="C149" s="1532"/>
      <c r="D149" s="1532"/>
      <c r="E149" s="1532"/>
      <c r="F149" s="1532"/>
      <c r="G149" s="1532"/>
      <c r="H149" s="1532"/>
      <c r="I149" s="1532"/>
      <c r="J149" s="1532"/>
      <c r="K149" s="1532"/>
      <c r="L149" s="1532"/>
      <c r="M149" s="1532"/>
      <c r="N149" s="1532"/>
      <c r="O149" s="1532"/>
      <c r="P149" s="1532"/>
      <c r="Q149" s="1532"/>
      <c r="R149" s="1532"/>
      <c r="S149" s="1532"/>
      <c r="T149" s="828"/>
      <c r="U149" s="828"/>
      <c r="V149" s="828"/>
      <c r="W149" s="828"/>
      <c r="X149" s="828"/>
      <c r="Y149" s="828"/>
    </row>
    <row r="150" spans="1:25" ht="13.5" customHeight="1">
      <c r="A150" s="1531"/>
      <c r="B150" s="1532"/>
      <c r="C150" s="1532"/>
      <c r="D150" s="1532"/>
      <c r="E150" s="1532"/>
      <c r="F150" s="1532"/>
      <c r="G150" s="1532"/>
      <c r="H150" s="1532"/>
      <c r="I150" s="1532"/>
      <c r="J150" s="1532"/>
      <c r="K150" s="1532"/>
      <c r="L150" s="1532"/>
      <c r="M150" s="1532"/>
      <c r="N150" s="1532"/>
      <c r="O150" s="1532"/>
      <c r="P150" s="1532"/>
      <c r="Q150" s="1532"/>
      <c r="R150" s="1532"/>
      <c r="S150" s="1532"/>
      <c r="T150" s="828"/>
      <c r="U150" s="828"/>
      <c r="V150" s="828"/>
      <c r="W150" s="828"/>
      <c r="X150" s="828"/>
      <c r="Y150" s="828"/>
    </row>
    <row r="151" spans="1:25" ht="13.5" customHeight="1">
      <c r="A151" s="1531"/>
      <c r="B151" s="1532"/>
      <c r="C151" s="1532"/>
      <c r="D151" s="1532"/>
      <c r="E151" s="1532"/>
      <c r="F151" s="1532"/>
      <c r="G151" s="1532"/>
      <c r="H151" s="1532"/>
      <c r="I151" s="1532"/>
      <c r="J151" s="1532"/>
      <c r="K151" s="1532"/>
      <c r="L151" s="1532"/>
      <c r="M151" s="1532"/>
      <c r="N151" s="1532"/>
      <c r="O151" s="1532"/>
      <c r="P151" s="1532"/>
      <c r="Q151" s="1532"/>
      <c r="R151" s="1532"/>
      <c r="S151" s="1532"/>
      <c r="T151" s="828"/>
      <c r="U151" s="828"/>
      <c r="V151" s="828"/>
      <c r="W151" s="828"/>
      <c r="X151" s="828"/>
      <c r="Y151" s="828"/>
    </row>
    <row r="152" spans="1:25" ht="13.5" customHeight="1">
      <c r="A152" s="1531"/>
      <c r="B152" s="1532"/>
      <c r="C152" s="1532"/>
      <c r="D152" s="1532"/>
      <c r="E152" s="1532"/>
      <c r="F152" s="1532"/>
      <c r="G152" s="1532"/>
      <c r="H152" s="1532"/>
      <c r="I152" s="1532"/>
      <c r="J152" s="1532"/>
      <c r="K152" s="1532"/>
      <c r="L152" s="1532"/>
      <c r="M152" s="1532"/>
      <c r="N152" s="1532"/>
      <c r="O152" s="1532"/>
      <c r="P152" s="1532"/>
      <c r="Q152" s="1532"/>
      <c r="R152" s="1532"/>
      <c r="S152" s="1532"/>
      <c r="T152" s="828"/>
      <c r="U152" s="828"/>
      <c r="V152" s="828"/>
      <c r="W152" s="828"/>
      <c r="X152" s="828"/>
      <c r="Y152" s="828"/>
    </row>
    <row r="153" spans="1:25" ht="13.5" customHeight="1">
      <c r="A153" s="1531"/>
      <c r="B153" s="1532"/>
      <c r="C153" s="1532"/>
      <c r="D153" s="1532"/>
      <c r="E153" s="1532"/>
      <c r="F153" s="1532"/>
      <c r="G153" s="1532"/>
      <c r="H153" s="1532"/>
      <c r="I153" s="1532"/>
      <c r="J153" s="1532"/>
      <c r="K153" s="1532"/>
      <c r="L153" s="1532"/>
      <c r="M153" s="1532"/>
      <c r="N153" s="1532"/>
      <c r="O153" s="1532"/>
      <c r="P153" s="1532"/>
      <c r="Q153" s="1532"/>
      <c r="R153" s="1532"/>
      <c r="S153" s="1532"/>
      <c r="T153" s="828"/>
      <c r="U153" s="828"/>
      <c r="V153" s="828"/>
      <c r="W153" s="828"/>
      <c r="X153" s="828"/>
      <c r="Y153" s="828"/>
    </row>
    <row r="154" spans="1:25" ht="13.5" customHeight="1">
      <c r="A154" s="1531"/>
      <c r="B154" s="1532"/>
      <c r="C154" s="1532"/>
      <c r="D154" s="1532"/>
      <c r="E154" s="1532"/>
      <c r="F154" s="1532"/>
      <c r="G154" s="1532"/>
      <c r="H154" s="1532"/>
      <c r="I154" s="1532"/>
      <c r="J154" s="1532"/>
      <c r="K154" s="1532"/>
      <c r="L154" s="1532"/>
      <c r="M154" s="1532"/>
      <c r="N154" s="1532"/>
      <c r="O154" s="1532"/>
      <c r="P154" s="1532"/>
      <c r="Q154" s="1532"/>
      <c r="R154" s="1532"/>
      <c r="S154" s="1532"/>
      <c r="T154" s="828"/>
      <c r="U154" s="828"/>
      <c r="V154" s="828"/>
      <c r="W154" s="828"/>
      <c r="X154" s="828"/>
      <c r="Y154" s="828"/>
    </row>
    <row r="155" spans="1:25" ht="13.5" customHeight="1">
      <c r="A155" s="1531"/>
      <c r="B155" s="1532"/>
      <c r="C155" s="1532"/>
      <c r="D155" s="1532"/>
      <c r="E155" s="1532"/>
      <c r="F155" s="1532"/>
      <c r="G155" s="1532"/>
      <c r="H155" s="1532"/>
      <c r="I155" s="1532"/>
      <c r="J155" s="1532"/>
      <c r="K155" s="1532"/>
      <c r="L155" s="1532"/>
      <c r="M155" s="1532"/>
      <c r="N155" s="1532"/>
      <c r="O155" s="1532"/>
      <c r="P155" s="1532"/>
      <c r="Q155" s="1532"/>
      <c r="R155" s="1532"/>
      <c r="S155" s="1532"/>
      <c r="T155" s="828"/>
      <c r="U155" s="828"/>
      <c r="V155" s="828"/>
      <c r="W155" s="828"/>
      <c r="X155" s="828"/>
      <c r="Y155" s="828"/>
    </row>
    <row r="156" spans="1:25" ht="13.5" customHeight="1">
      <c r="A156" s="1531"/>
      <c r="B156" s="1532"/>
      <c r="C156" s="1532"/>
      <c r="D156" s="1532"/>
      <c r="E156" s="1532"/>
      <c r="F156" s="1532"/>
      <c r="G156" s="1532"/>
      <c r="H156" s="1532"/>
      <c r="I156" s="1532"/>
      <c r="J156" s="1532"/>
      <c r="K156" s="1532"/>
      <c r="L156" s="1532"/>
      <c r="M156" s="1532"/>
      <c r="N156" s="1532"/>
      <c r="O156" s="1532"/>
      <c r="P156" s="1532"/>
      <c r="Q156" s="1532"/>
      <c r="R156" s="1532"/>
      <c r="S156" s="1532"/>
      <c r="T156" s="828"/>
      <c r="U156" s="828"/>
      <c r="V156" s="828"/>
      <c r="W156" s="828"/>
      <c r="X156" s="828"/>
      <c r="Y156" s="828"/>
    </row>
    <row r="157" spans="1:25" ht="13.5" customHeight="1">
      <c r="A157" s="1531"/>
      <c r="B157" s="1532"/>
      <c r="C157" s="1532"/>
      <c r="D157" s="1532"/>
      <c r="E157" s="1532"/>
      <c r="F157" s="1532"/>
      <c r="G157" s="1532"/>
      <c r="H157" s="1532"/>
      <c r="I157" s="1532"/>
      <c r="J157" s="1532"/>
      <c r="K157" s="1532"/>
      <c r="L157" s="1532"/>
      <c r="M157" s="1532"/>
      <c r="N157" s="1532"/>
      <c r="O157" s="1532"/>
      <c r="P157" s="1532"/>
      <c r="Q157" s="1532"/>
      <c r="R157" s="1532"/>
      <c r="S157" s="1532"/>
      <c r="T157" s="828"/>
      <c r="U157" s="828"/>
      <c r="V157" s="828"/>
      <c r="W157" s="828"/>
      <c r="X157" s="828"/>
      <c r="Y157" s="828"/>
    </row>
    <row r="158" spans="1:25" ht="13.5" customHeight="1">
      <c r="A158" s="1531"/>
      <c r="B158" s="1532"/>
      <c r="C158" s="1532"/>
      <c r="D158" s="1532"/>
      <c r="E158" s="1532"/>
      <c r="F158" s="1532"/>
      <c r="G158" s="1532"/>
      <c r="H158" s="1532"/>
      <c r="I158" s="1532"/>
      <c r="J158" s="1532"/>
      <c r="K158" s="1532"/>
      <c r="L158" s="1532"/>
      <c r="M158" s="1532"/>
      <c r="N158" s="1532"/>
      <c r="O158" s="1532"/>
      <c r="P158" s="1532"/>
      <c r="Q158" s="1532"/>
      <c r="R158" s="1532"/>
      <c r="S158" s="1532"/>
      <c r="T158" s="828"/>
      <c r="U158" s="828"/>
      <c r="V158" s="828"/>
      <c r="W158" s="828"/>
      <c r="X158" s="828"/>
      <c r="Y158" s="828"/>
    </row>
    <row r="159" spans="1:25" ht="13.5" customHeight="1">
      <c r="A159" s="1531"/>
      <c r="B159" s="1532"/>
      <c r="C159" s="1532"/>
      <c r="D159" s="1532"/>
      <c r="E159" s="1532"/>
      <c r="F159" s="1532"/>
      <c r="G159" s="1532"/>
      <c r="H159" s="1532"/>
      <c r="I159" s="1532"/>
      <c r="J159" s="1532"/>
      <c r="K159" s="1532"/>
      <c r="L159" s="1532"/>
      <c r="M159" s="1532"/>
      <c r="N159" s="1532"/>
      <c r="O159" s="1532"/>
      <c r="P159" s="1532"/>
      <c r="Q159" s="1532"/>
      <c r="R159" s="1532"/>
      <c r="S159" s="1532"/>
      <c r="T159" s="828"/>
      <c r="U159" s="828"/>
      <c r="V159" s="828"/>
      <c r="W159" s="828"/>
      <c r="X159" s="828"/>
      <c r="Y159" s="828"/>
    </row>
    <row r="160" spans="1:25" ht="13.5" customHeight="1">
      <c r="A160" s="1531"/>
      <c r="B160" s="1532"/>
      <c r="C160" s="1532"/>
      <c r="D160" s="1532"/>
      <c r="E160" s="1532"/>
      <c r="F160" s="1532"/>
      <c r="G160" s="1532"/>
      <c r="H160" s="1532"/>
      <c r="I160" s="1532"/>
      <c r="J160" s="1532"/>
      <c r="K160" s="1532"/>
      <c r="L160" s="1532"/>
      <c r="M160" s="1532"/>
      <c r="N160" s="1532"/>
      <c r="O160" s="1532"/>
      <c r="P160" s="1532"/>
      <c r="Q160" s="1532"/>
      <c r="R160" s="1532"/>
      <c r="S160" s="1532"/>
      <c r="T160" s="828"/>
      <c r="U160" s="828"/>
      <c r="V160" s="828"/>
      <c r="W160" s="828"/>
      <c r="X160" s="828"/>
      <c r="Y160" s="828"/>
    </row>
    <row r="161" spans="1:26" ht="97.5" customHeight="1">
      <c r="A161" s="828"/>
      <c r="B161" s="828"/>
      <c r="C161" s="828"/>
      <c r="D161" s="828"/>
      <c r="E161" s="828"/>
      <c r="F161" s="828"/>
      <c r="G161" s="828"/>
      <c r="H161" s="828"/>
      <c r="I161" s="828"/>
      <c r="J161" s="828"/>
      <c r="K161" s="828"/>
      <c r="L161" s="828"/>
      <c r="M161" s="828"/>
      <c r="N161" s="828"/>
      <c r="O161" s="828"/>
      <c r="P161" s="828"/>
      <c r="Q161" s="828"/>
      <c r="R161" s="828"/>
      <c r="S161" s="828"/>
      <c r="T161" s="828"/>
      <c r="U161" s="828"/>
      <c r="V161" s="828"/>
      <c r="W161" s="828"/>
      <c r="X161" s="828"/>
      <c r="Y161" s="828"/>
      <c r="Z161" s="828"/>
    </row>
    <row r="162" spans="1:26">
      <c r="A162" s="828"/>
      <c r="B162" s="828"/>
      <c r="C162" s="828"/>
      <c r="D162" s="828"/>
      <c r="E162" s="828"/>
      <c r="F162" s="828"/>
      <c r="G162" s="828"/>
      <c r="H162" s="828"/>
      <c r="I162" s="828"/>
      <c r="J162" s="828"/>
      <c r="K162" s="828"/>
      <c r="L162" s="828"/>
      <c r="M162" s="828"/>
      <c r="N162" s="828"/>
      <c r="O162" s="828"/>
      <c r="P162" s="828"/>
      <c r="Q162" s="828"/>
      <c r="R162" s="828"/>
      <c r="S162" s="828"/>
      <c r="T162" s="828"/>
      <c r="U162" s="828"/>
      <c r="V162" s="828"/>
      <c r="W162" s="828"/>
      <c r="X162" s="828"/>
      <c r="Y162" s="828"/>
      <c r="Z162" s="828"/>
    </row>
    <row r="163" spans="1:26">
      <c r="A163" s="828"/>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row>
    <row r="164" spans="1:26">
      <c r="A164" s="828"/>
      <c r="B164" s="828"/>
      <c r="C164" s="828"/>
      <c r="D164" s="828"/>
      <c r="E164" s="828"/>
      <c r="F164" s="828"/>
      <c r="G164" s="828"/>
      <c r="H164" s="828"/>
      <c r="I164" s="828"/>
      <c r="J164" s="828"/>
      <c r="K164" s="828"/>
      <c r="L164" s="828"/>
      <c r="M164" s="828"/>
      <c r="N164" s="828"/>
      <c r="O164" s="828"/>
      <c r="P164" s="828"/>
      <c r="Q164" s="828"/>
      <c r="R164" s="828"/>
      <c r="S164" s="828"/>
      <c r="T164" s="828"/>
      <c r="U164" s="828"/>
      <c r="V164" s="828"/>
      <c r="W164" s="828"/>
      <c r="X164" s="828"/>
      <c r="Y164" s="828"/>
      <c r="Z164" s="828"/>
    </row>
    <row r="165" spans="1:26">
      <c r="A165" s="828"/>
      <c r="B165" s="828"/>
      <c r="C165" s="828"/>
      <c r="D165" s="828"/>
      <c r="E165" s="828"/>
      <c r="F165" s="828"/>
      <c r="G165" s="828"/>
      <c r="H165" s="828"/>
      <c r="I165" s="828"/>
      <c r="J165" s="828"/>
      <c r="K165" s="828"/>
      <c r="L165" s="828"/>
      <c r="M165" s="828"/>
      <c r="N165" s="828"/>
      <c r="O165" s="828"/>
      <c r="P165" s="828"/>
      <c r="Q165" s="828"/>
      <c r="R165" s="828"/>
      <c r="S165" s="828"/>
      <c r="T165" s="828"/>
      <c r="U165" s="828"/>
      <c r="V165" s="828"/>
      <c r="W165" s="828"/>
      <c r="X165" s="828"/>
      <c r="Y165" s="828"/>
      <c r="Z165" s="828"/>
    </row>
    <row r="166" spans="1:26">
      <c r="A166" s="828"/>
      <c r="B166" s="828"/>
      <c r="C166" s="828"/>
      <c r="D166" s="828"/>
      <c r="E166" s="828"/>
      <c r="F166" s="828"/>
      <c r="G166" s="828"/>
      <c r="H166" s="828"/>
      <c r="I166" s="828"/>
      <c r="J166" s="828"/>
      <c r="K166" s="828"/>
      <c r="L166" s="828"/>
      <c r="M166" s="828"/>
      <c r="N166" s="828"/>
      <c r="O166" s="828"/>
      <c r="P166" s="828"/>
      <c r="Q166" s="828"/>
      <c r="R166" s="828"/>
      <c r="S166" s="828"/>
      <c r="T166" s="828"/>
      <c r="U166" s="828"/>
      <c r="V166" s="828"/>
      <c r="W166" s="828"/>
      <c r="X166" s="828"/>
      <c r="Y166" s="828"/>
      <c r="Z166" s="828"/>
    </row>
    <row r="167" spans="1:26">
      <c r="A167" s="828"/>
      <c r="B167" s="828"/>
      <c r="C167" s="828"/>
      <c r="D167" s="828"/>
      <c r="E167" s="828"/>
      <c r="F167" s="828"/>
      <c r="G167" s="828"/>
      <c r="H167" s="828"/>
      <c r="I167" s="828"/>
      <c r="J167" s="828"/>
      <c r="K167" s="828"/>
      <c r="L167" s="828"/>
      <c r="M167" s="828"/>
      <c r="N167" s="828"/>
      <c r="O167" s="828"/>
      <c r="P167" s="828"/>
      <c r="Q167" s="828"/>
      <c r="R167" s="828"/>
      <c r="S167" s="828"/>
      <c r="T167" s="828"/>
      <c r="U167" s="828"/>
      <c r="V167" s="828"/>
      <c r="W167" s="828"/>
      <c r="X167" s="828"/>
      <c r="Y167" s="828"/>
      <c r="Z167" s="828"/>
    </row>
    <row r="168" spans="1:26">
      <c r="A168" s="828"/>
      <c r="B168" s="828"/>
      <c r="C168" s="828"/>
      <c r="D168" s="828"/>
      <c r="E168" s="828"/>
      <c r="F168" s="828"/>
      <c r="G168" s="828"/>
      <c r="H168" s="828"/>
      <c r="I168" s="828"/>
      <c r="J168" s="828"/>
      <c r="K168" s="828"/>
      <c r="L168" s="828"/>
      <c r="M168" s="828"/>
      <c r="N168" s="828"/>
      <c r="O168" s="828"/>
      <c r="P168" s="828"/>
      <c r="Q168" s="828"/>
      <c r="R168" s="828"/>
      <c r="S168" s="828"/>
      <c r="T168" s="828"/>
      <c r="U168" s="828"/>
      <c r="V168" s="828"/>
      <c r="W168" s="828"/>
      <c r="X168" s="828"/>
      <c r="Y168" s="828"/>
      <c r="Z168" s="828"/>
    </row>
    <row r="169" spans="1:26">
      <c r="A169" s="828"/>
      <c r="B169" s="828"/>
      <c r="C169" s="828"/>
      <c r="D169" s="828"/>
      <c r="E169" s="828"/>
      <c r="F169" s="828"/>
      <c r="G169" s="828"/>
      <c r="H169" s="828"/>
      <c r="I169" s="828"/>
      <c r="J169" s="828"/>
      <c r="K169" s="828"/>
      <c r="L169" s="828"/>
      <c r="M169" s="828"/>
      <c r="N169" s="828"/>
      <c r="O169" s="828"/>
      <c r="P169" s="828"/>
      <c r="Q169" s="828"/>
      <c r="R169" s="828"/>
      <c r="S169" s="828"/>
      <c r="T169" s="828"/>
      <c r="U169" s="828"/>
      <c r="V169" s="828"/>
      <c r="W169" s="828"/>
      <c r="X169" s="828"/>
      <c r="Y169" s="828"/>
      <c r="Z169" s="828"/>
    </row>
    <row r="170" spans="1:26">
      <c r="A170" s="828"/>
      <c r="B170" s="828"/>
      <c r="C170" s="828"/>
      <c r="D170" s="828"/>
      <c r="E170" s="828"/>
      <c r="F170" s="828"/>
      <c r="G170" s="828"/>
      <c r="H170" s="828"/>
      <c r="I170" s="828"/>
      <c r="J170" s="828"/>
      <c r="K170" s="828"/>
      <c r="L170" s="828"/>
      <c r="M170" s="828"/>
      <c r="N170" s="828"/>
      <c r="O170" s="828"/>
      <c r="P170" s="828"/>
      <c r="Q170" s="828"/>
      <c r="R170" s="828"/>
      <c r="S170" s="828"/>
      <c r="T170" s="828"/>
      <c r="U170" s="828"/>
      <c r="V170" s="828"/>
      <c r="W170" s="828"/>
      <c r="X170" s="828"/>
      <c r="Y170" s="828"/>
      <c r="Z170" s="828"/>
    </row>
    <row r="171" spans="1:26">
      <c r="A171" s="828"/>
      <c r="B171" s="828"/>
      <c r="C171" s="828"/>
      <c r="D171" s="828"/>
      <c r="E171" s="828"/>
      <c r="F171" s="828"/>
      <c r="G171" s="828"/>
      <c r="H171" s="828"/>
      <c r="I171" s="828"/>
      <c r="J171" s="828"/>
      <c r="K171" s="828"/>
      <c r="L171" s="828"/>
      <c r="M171" s="828"/>
      <c r="N171" s="828"/>
      <c r="O171" s="828"/>
      <c r="P171" s="828"/>
      <c r="Q171" s="828"/>
      <c r="R171" s="828"/>
      <c r="S171" s="828"/>
      <c r="T171" s="828"/>
      <c r="U171" s="828"/>
      <c r="V171" s="828"/>
      <c r="W171" s="828"/>
      <c r="X171" s="828"/>
      <c r="Y171" s="828"/>
      <c r="Z171" s="828"/>
    </row>
    <row r="172" spans="1:26">
      <c r="A172" s="828"/>
      <c r="B172" s="828"/>
      <c r="C172" s="828"/>
      <c r="D172" s="828"/>
      <c r="E172" s="828"/>
      <c r="F172" s="828"/>
      <c r="G172" s="828"/>
      <c r="H172" s="828"/>
      <c r="I172" s="828"/>
      <c r="J172" s="828"/>
      <c r="K172" s="828"/>
      <c r="L172" s="828"/>
      <c r="M172" s="828"/>
      <c r="N172" s="828"/>
      <c r="O172" s="828"/>
      <c r="P172" s="828"/>
      <c r="Q172" s="828"/>
      <c r="R172" s="828"/>
      <c r="S172" s="828"/>
      <c r="T172" s="828"/>
      <c r="U172" s="828"/>
      <c r="V172" s="828"/>
      <c r="W172" s="828"/>
      <c r="X172" s="828"/>
      <c r="Y172" s="828"/>
      <c r="Z172" s="828"/>
    </row>
    <row r="173" spans="1:26">
      <c r="A173" s="828"/>
      <c r="B173" s="828"/>
      <c r="C173" s="828"/>
      <c r="D173" s="828"/>
      <c r="E173" s="828"/>
      <c r="F173" s="828"/>
      <c r="G173" s="828"/>
      <c r="H173" s="828"/>
      <c r="I173" s="828"/>
      <c r="J173" s="828"/>
      <c r="K173" s="828"/>
      <c r="L173" s="828"/>
      <c r="M173" s="828"/>
      <c r="N173" s="828"/>
      <c r="O173" s="828"/>
      <c r="P173" s="828"/>
      <c r="Q173" s="828"/>
      <c r="R173" s="828"/>
      <c r="S173" s="828"/>
      <c r="T173" s="828"/>
      <c r="U173" s="828"/>
      <c r="V173" s="828"/>
      <c r="W173" s="828"/>
      <c r="X173" s="828"/>
      <c r="Y173" s="828"/>
      <c r="Z173" s="828"/>
    </row>
    <row r="174" spans="1:26">
      <c r="A174" s="828"/>
      <c r="B174" s="828"/>
      <c r="C174" s="828"/>
      <c r="D174" s="828"/>
      <c r="E174" s="828"/>
      <c r="F174" s="828"/>
      <c r="G174" s="828"/>
      <c r="H174" s="828"/>
      <c r="I174" s="828"/>
      <c r="J174" s="828"/>
      <c r="K174" s="828"/>
      <c r="L174" s="828"/>
      <c r="M174" s="828"/>
      <c r="N174" s="828"/>
      <c r="O174" s="828"/>
      <c r="P174" s="828"/>
      <c r="Q174" s="828"/>
      <c r="R174" s="828"/>
      <c r="S174" s="828"/>
      <c r="T174" s="828"/>
      <c r="U174" s="828"/>
      <c r="V174" s="828"/>
      <c r="W174" s="828"/>
      <c r="X174" s="828"/>
      <c r="Y174" s="828"/>
      <c r="Z174" s="828"/>
    </row>
    <row r="175" spans="1:26">
      <c r="A175" s="828"/>
      <c r="B175" s="828"/>
      <c r="C175" s="828"/>
      <c r="D175" s="828"/>
      <c r="E175" s="828"/>
      <c r="F175" s="828"/>
      <c r="G175" s="828"/>
      <c r="H175" s="828"/>
      <c r="I175" s="828"/>
      <c r="J175" s="828"/>
      <c r="K175" s="828"/>
      <c r="L175" s="828"/>
      <c r="M175" s="828"/>
      <c r="N175" s="828"/>
      <c r="O175" s="828"/>
      <c r="P175" s="828"/>
      <c r="Q175" s="828"/>
      <c r="R175" s="828"/>
      <c r="S175" s="828"/>
    </row>
    <row r="176" spans="1:26">
      <c r="A176" s="828"/>
      <c r="B176" s="828"/>
      <c r="C176" s="828"/>
      <c r="D176" s="828"/>
      <c r="E176" s="828"/>
      <c r="F176" s="828"/>
      <c r="G176" s="828"/>
      <c r="H176" s="828"/>
      <c r="I176" s="828"/>
      <c r="J176" s="828"/>
      <c r="K176" s="828"/>
      <c r="L176" s="828"/>
      <c r="M176" s="828"/>
      <c r="N176" s="828"/>
      <c r="O176" s="828"/>
      <c r="P176" s="828"/>
      <c r="Q176" s="828"/>
      <c r="R176" s="828"/>
      <c r="S176" s="828"/>
    </row>
    <row r="177" spans="1:68">
      <c r="A177" s="828"/>
      <c r="B177" s="828"/>
      <c r="C177" s="828"/>
      <c r="D177" s="828"/>
      <c r="E177" s="828"/>
      <c r="F177" s="828"/>
      <c r="G177" s="828"/>
      <c r="H177" s="828"/>
      <c r="I177" s="828"/>
      <c r="J177" s="828"/>
      <c r="K177" s="828"/>
      <c r="L177" s="828"/>
      <c r="M177" s="828"/>
      <c r="N177" s="828"/>
      <c r="O177" s="828"/>
      <c r="P177" s="828"/>
      <c r="Q177" s="828"/>
      <c r="R177" s="828"/>
      <c r="S177" s="828"/>
    </row>
    <row r="178" spans="1:68">
      <c r="A178" s="828"/>
      <c r="B178" s="828"/>
      <c r="C178" s="828"/>
      <c r="D178" s="828"/>
      <c r="E178" s="828"/>
      <c r="F178" s="828"/>
      <c r="G178" s="828"/>
      <c r="H178" s="828"/>
      <c r="I178" s="828"/>
      <c r="J178" s="828"/>
      <c r="K178" s="828"/>
      <c r="L178" s="828"/>
      <c r="M178" s="828"/>
      <c r="N178" s="828"/>
      <c r="O178" s="828"/>
      <c r="P178" s="828"/>
      <c r="Q178" s="828"/>
      <c r="R178" s="828"/>
      <c r="S178" s="828"/>
    </row>
    <row r="179" spans="1:68">
      <c r="A179" s="828"/>
      <c r="B179" s="828"/>
      <c r="C179" s="828"/>
      <c r="D179" s="828"/>
      <c r="E179" s="828"/>
      <c r="F179" s="828"/>
      <c r="G179" s="828"/>
      <c r="H179" s="828"/>
      <c r="I179" s="828"/>
      <c r="J179" s="828"/>
      <c r="K179" s="828"/>
      <c r="L179" s="828"/>
      <c r="M179" s="828"/>
      <c r="N179" s="828"/>
      <c r="O179" s="828"/>
      <c r="P179" s="828"/>
      <c r="Q179" s="828"/>
      <c r="R179" s="828"/>
      <c r="S179" s="828"/>
    </row>
    <row r="180" spans="1:68">
      <c r="A180" s="828"/>
      <c r="B180" s="828"/>
      <c r="C180" s="828"/>
      <c r="D180" s="828"/>
      <c r="E180" s="828"/>
      <c r="F180" s="828"/>
      <c r="G180" s="828"/>
      <c r="H180" s="828"/>
      <c r="I180" s="828"/>
      <c r="J180" s="828"/>
      <c r="K180" s="828"/>
      <c r="L180" s="828"/>
      <c r="M180" s="828"/>
      <c r="N180" s="828"/>
      <c r="O180" s="828"/>
      <c r="P180" s="828"/>
      <c r="Q180" s="828"/>
      <c r="R180" s="828"/>
      <c r="S180" s="828"/>
    </row>
    <row r="181" spans="1:68">
      <c r="A181" s="828"/>
      <c r="B181" s="828"/>
      <c r="C181" s="828"/>
      <c r="D181" s="828"/>
      <c r="E181" s="828"/>
      <c r="F181" s="828"/>
      <c r="G181" s="828"/>
      <c r="H181" s="828"/>
      <c r="I181" s="828"/>
      <c r="J181" s="828"/>
      <c r="K181" s="828"/>
      <c r="L181" s="828"/>
      <c r="M181" s="828"/>
      <c r="N181" s="828"/>
      <c r="O181" s="828"/>
      <c r="P181" s="828"/>
      <c r="Q181" s="828"/>
      <c r="R181" s="828"/>
      <c r="S181" s="828"/>
    </row>
    <row r="182" spans="1:68" ht="38.25" customHeight="1">
      <c r="A182" s="828"/>
      <c r="B182" s="828"/>
      <c r="C182" s="828"/>
      <c r="D182" s="828"/>
      <c r="E182" s="828"/>
      <c r="F182" s="828"/>
      <c r="G182" s="828"/>
      <c r="H182" s="828"/>
      <c r="I182" s="828"/>
      <c r="J182" s="828"/>
      <c r="K182" s="828"/>
      <c r="L182" s="828"/>
      <c r="M182" s="828"/>
      <c r="N182" s="828"/>
      <c r="O182" s="828"/>
      <c r="P182" s="828"/>
      <c r="Q182" s="828"/>
      <c r="R182" s="828"/>
      <c r="S182" s="828"/>
    </row>
    <row r="183" spans="1:68">
      <c r="A183" s="828"/>
      <c r="B183" s="828"/>
      <c r="C183" s="828"/>
      <c r="D183" s="828"/>
      <c r="E183" s="828"/>
      <c r="F183" s="828"/>
      <c r="G183" s="828"/>
      <c r="H183" s="828"/>
      <c r="I183" s="828"/>
      <c r="J183" s="828"/>
      <c r="K183" s="828"/>
      <c r="L183" s="828"/>
      <c r="M183" s="828"/>
      <c r="N183" s="828"/>
      <c r="O183" s="828"/>
      <c r="P183" s="828"/>
      <c r="Q183" s="828"/>
      <c r="R183" s="828"/>
      <c r="S183" s="828"/>
    </row>
    <row r="184" spans="1:68" s="828" customFormat="1">
      <c r="T184" s="1006"/>
      <c r="U184" s="1006"/>
      <c r="V184" s="1006"/>
      <c r="W184" s="1006"/>
      <c r="X184" s="1006"/>
      <c r="Y184" s="1006"/>
      <c r="Z184" s="1006"/>
      <c r="AA184" s="1006"/>
      <c r="AB184" s="1006"/>
      <c r="AC184" s="1006"/>
      <c r="AD184" s="1006"/>
      <c r="AE184" s="1006"/>
      <c r="AF184" s="1006"/>
      <c r="AG184" s="1006"/>
      <c r="AH184" s="1006"/>
      <c r="AI184" s="1006"/>
      <c r="AJ184" s="1006"/>
      <c r="AK184" s="1006"/>
      <c r="AL184" s="1006"/>
      <c r="AM184" s="1006"/>
      <c r="AN184" s="1006"/>
      <c r="AO184" s="1006"/>
      <c r="AP184" s="1006"/>
      <c r="AQ184" s="1006"/>
      <c r="AR184" s="1006"/>
      <c r="AS184" s="1006"/>
      <c r="AT184" s="1006"/>
      <c r="AU184" s="1006"/>
      <c r="AV184" s="1006"/>
      <c r="AW184" s="1006"/>
      <c r="AX184" s="1006"/>
      <c r="AY184" s="1006"/>
      <c r="AZ184" s="1006"/>
      <c r="BA184" s="1006"/>
      <c r="BB184" s="1006"/>
      <c r="BC184" s="1006"/>
      <c r="BD184" s="1006"/>
      <c r="BE184" s="1006"/>
      <c r="BF184" s="1006"/>
      <c r="BG184" s="1006"/>
      <c r="BH184" s="1006"/>
      <c r="BI184" s="1006"/>
      <c r="BJ184" s="1006"/>
      <c r="BK184" s="1006"/>
      <c r="BL184" s="1006"/>
      <c r="BM184" s="1006"/>
      <c r="BN184" s="1006"/>
      <c r="BO184" s="1006"/>
      <c r="BP184" s="1006"/>
    </row>
    <row r="185" spans="1:68" s="828" customFormat="1">
      <c r="T185" s="1006"/>
      <c r="U185" s="1006"/>
      <c r="V185" s="1006"/>
      <c r="W185" s="1006"/>
      <c r="X185" s="1006"/>
      <c r="Y185" s="1006"/>
      <c r="Z185" s="1006"/>
      <c r="AA185" s="1006"/>
      <c r="AB185" s="1006"/>
      <c r="AC185" s="1006"/>
      <c r="AD185" s="1006"/>
      <c r="AE185" s="1006"/>
      <c r="AF185" s="1006"/>
      <c r="AG185" s="1006"/>
      <c r="AH185" s="1006"/>
      <c r="AI185" s="1006"/>
      <c r="AJ185" s="1006"/>
      <c r="AK185" s="1006"/>
      <c r="AL185" s="1006"/>
      <c r="AM185" s="1006"/>
      <c r="AN185" s="1006"/>
      <c r="AO185" s="1006"/>
      <c r="AP185" s="1006"/>
      <c r="AQ185" s="1006"/>
      <c r="AR185" s="1006"/>
      <c r="AS185" s="1006"/>
      <c r="AT185" s="1006"/>
      <c r="AU185" s="1006"/>
      <c r="AV185" s="1006"/>
      <c r="AW185" s="1006"/>
      <c r="AX185" s="1006"/>
      <c r="AY185" s="1006"/>
      <c r="AZ185" s="1006"/>
      <c r="BA185" s="1006"/>
      <c r="BB185" s="1006"/>
      <c r="BC185" s="1006"/>
      <c r="BD185" s="1006"/>
      <c r="BE185" s="1006"/>
      <c r="BF185" s="1006"/>
      <c r="BG185" s="1006"/>
      <c r="BH185" s="1006"/>
      <c r="BI185" s="1006"/>
      <c r="BJ185" s="1006"/>
      <c r="BK185" s="1006"/>
      <c r="BL185" s="1006"/>
      <c r="BM185" s="1006"/>
      <c r="BN185" s="1006"/>
      <c r="BO185" s="1006"/>
      <c r="BP185" s="1006"/>
    </row>
    <row r="186" spans="1:68" s="828" customFormat="1">
      <c r="T186" s="1006"/>
      <c r="U186" s="1006"/>
      <c r="V186" s="1006"/>
      <c r="W186" s="1006"/>
      <c r="X186" s="1006"/>
      <c r="Y186" s="1006"/>
      <c r="Z186" s="1006"/>
      <c r="AA186" s="1006"/>
      <c r="AB186" s="1006"/>
      <c r="AC186" s="1006"/>
      <c r="AD186" s="1006"/>
      <c r="AE186" s="1006"/>
      <c r="AF186" s="1006"/>
      <c r="AG186" s="1006"/>
      <c r="AH186" s="1006"/>
      <c r="AI186" s="1006"/>
      <c r="AJ186" s="1006"/>
      <c r="AK186" s="1006"/>
      <c r="AL186" s="1006"/>
      <c r="AM186" s="1006"/>
      <c r="AN186" s="1006"/>
      <c r="AO186" s="1006"/>
      <c r="AP186" s="1006"/>
      <c r="AQ186" s="1006"/>
      <c r="AR186" s="1006"/>
      <c r="AS186" s="1006"/>
      <c r="AT186" s="1006"/>
      <c r="AU186" s="1006"/>
      <c r="AV186" s="1006"/>
      <c r="AW186" s="1006"/>
      <c r="AX186" s="1006"/>
      <c r="AY186" s="1006"/>
      <c r="AZ186" s="1006"/>
      <c r="BA186" s="1006"/>
      <c r="BB186" s="1006"/>
      <c r="BC186" s="1006"/>
      <c r="BD186" s="1006"/>
      <c r="BE186" s="1006"/>
      <c r="BF186" s="1006"/>
      <c r="BG186" s="1006"/>
      <c r="BH186" s="1006"/>
      <c r="BI186" s="1006"/>
      <c r="BJ186" s="1006"/>
      <c r="BK186" s="1006"/>
      <c r="BL186" s="1006"/>
      <c r="BM186" s="1006"/>
      <c r="BN186" s="1006"/>
      <c r="BO186" s="1006"/>
      <c r="BP186" s="1006"/>
    </row>
    <row r="187" spans="1:68" s="828" customFormat="1">
      <c r="T187" s="1006"/>
      <c r="U187" s="1006"/>
      <c r="V187" s="1006"/>
      <c r="W187" s="1006"/>
      <c r="X187" s="1006"/>
      <c r="Y187" s="1006"/>
      <c r="Z187" s="1006"/>
      <c r="AA187" s="1006"/>
      <c r="AB187" s="1006"/>
      <c r="AC187" s="1006"/>
      <c r="AD187" s="1006"/>
      <c r="AE187" s="1006"/>
      <c r="AF187" s="1006"/>
      <c r="AG187" s="1006"/>
      <c r="AH187" s="1006"/>
      <c r="AI187" s="1006"/>
      <c r="AJ187" s="1006"/>
      <c r="AK187" s="1006"/>
      <c r="AL187" s="1006"/>
      <c r="AM187" s="1006"/>
      <c r="AN187" s="1006"/>
      <c r="AO187" s="1006"/>
      <c r="AP187" s="1006"/>
      <c r="AQ187" s="1006"/>
      <c r="AR187" s="1006"/>
      <c r="AS187" s="1006"/>
      <c r="AT187" s="1006"/>
      <c r="AU187" s="1006"/>
      <c r="AV187" s="1006"/>
      <c r="AW187" s="1006"/>
      <c r="AX187" s="1006"/>
      <c r="AY187" s="1006"/>
      <c r="AZ187" s="1006"/>
      <c r="BA187" s="1006"/>
      <c r="BB187" s="1006"/>
      <c r="BC187" s="1006"/>
      <c r="BD187" s="1006"/>
      <c r="BE187" s="1006"/>
      <c r="BF187" s="1006"/>
      <c r="BG187" s="1006"/>
      <c r="BH187" s="1006"/>
      <c r="BI187" s="1006"/>
      <c r="BJ187" s="1006"/>
      <c r="BK187" s="1006"/>
      <c r="BL187" s="1006"/>
      <c r="BM187" s="1006"/>
      <c r="BN187" s="1006"/>
      <c r="BO187" s="1006"/>
      <c r="BP187" s="1006"/>
    </row>
  </sheetData>
  <mergeCells count="14">
    <mergeCell ref="A1:S1"/>
    <mergeCell ref="A12:S12"/>
    <mergeCell ref="A74:Q74"/>
    <mergeCell ref="D2:S2"/>
    <mergeCell ref="D3:S3"/>
    <mergeCell ref="D4:S4"/>
    <mergeCell ref="D5:S5"/>
    <mergeCell ref="D6:S6"/>
    <mergeCell ref="D7:S7"/>
    <mergeCell ref="D8:S8"/>
    <mergeCell ref="D9:S9"/>
    <mergeCell ref="D10:S10"/>
    <mergeCell ref="A8:C8"/>
    <mergeCell ref="A9:C9"/>
  </mergeCells>
  <printOptions horizontalCentered="1" verticalCentered="1"/>
  <pageMargins left="0.78740157480314965" right="0.78740157480314965" top="0.59055118110236227" bottom="0.78740157480314965" header="0.31496062992125984" footer="0.31496062992125984"/>
  <pageSetup paperSize="9" scale="47" orientation="landscape" r:id="rId1"/>
  <ignoredErrors>
    <ignoredError sqref="S14:S40 S42:S43 S50:S65 R117:R127"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6">
    <tabColor rgb="FFFFFF00"/>
  </sheetPr>
  <dimension ref="A1:M85"/>
  <sheetViews>
    <sheetView showGridLines="0" view="pageBreakPreview" topLeftCell="A19" zoomScale="70" zoomScaleNormal="70" zoomScaleSheetLayoutView="70" workbookViewId="0">
      <selection activeCell="A72" sqref="A72:XFD72"/>
    </sheetView>
  </sheetViews>
  <sheetFormatPr baseColWidth="10" defaultColWidth="12" defaultRowHeight="15"/>
  <cols>
    <col min="1" max="1" width="0.83203125" style="652" customWidth="1"/>
    <col min="2" max="2" width="27.83203125" style="652" customWidth="1"/>
    <col min="3" max="3" width="19.83203125" style="652" bestFit="1" customWidth="1"/>
    <col min="4" max="4" width="20.1640625" style="652" bestFit="1" customWidth="1"/>
    <col min="5" max="5" width="22.1640625" style="652" customWidth="1"/>
    <col min="6" max="6" width="20.1640625" style="652" bestFit="1" customWidth="1"/>
    <col min="7" max="7" width="20.1640625" style="652" customWidth="1"/>
    <col min="8" max="8" width="20.6640625" style="652" customWidth="1"/>
    <col min="9" max="9" width="21.33203125" style="652" customWidth="1"/>
    <col min="10" max="11" width="19" style="652" customWidth="1"/>
    <col min="12" max="13" width="16.1640625" style="652" customWidth="1"/>
    <col min="14" max="16384" width="12" style="652"/>
  </cols>
  <sheetData>
    <row r="1" spans="2:13" ht="3.75" customHeight="1" thickBot="1">
      <c r="B1" s="907"/>
      <c r="C1" s="908"/>
      <c r="D1" s="908"/>
      <c r="E1" s="908"/>
      <c r="F1" s="908"/>
      <c r="G1" s="908"/>
      <c r="H1" s="908"/>
      <c r="I1" s="908"/>
      <c r="J1" s="909"/>
      <c r="K1" s="1313"/>
    </row>
    <row r="2" spans="2:13" ht="23.25" customHeight="1" thickBot="1">
      <c r="B2" s="3546" t="s">
        <v>7</v>
      </c>
      <c r="C2" s="3547"/>
      <c r="D2" s="3547"/>
      <c r="E2" s="3547"/>
      <c r="F2" s="3547"/>
      <c r="G2" s="3547"/>
      <c r="H2" s="3547"/>
      <c r="I2" s="3547"/>
      <c r="J2" s="3548"/>
      <c r="K2" s="1790"/>
    </row>
    <row r="3" spans="2:13" ht="25.5">
      <c r="B3" s="653" t="s">
        <v>18</v>
      </c>
      <c r="C3" s="3553" t="s">
        <v>394</v>
      </c>
      <c r="D3" s="3554"/>
      <c r="E3" s="3554"/>
      <c r="F3" s="3554"/>
      <c r="G3" s="3554"/>
      <c r="H3" s="3554"/>
      <c r="I3" s="3543"/>
      <c r="J3" s="654" t="s">
        <v>395</v>
      </c>
      <c r="K3" s="1791"/>
    </row>
    <row r="4" spans="2:13">
      <c r="B4" s="655" t="s">
        <v>17</v>
      </c>
      <c r="C4" s="3549" t="s">
        <v>396</v>
      </c>
      <c r="D4" s="3550"/>
      <c r="E4" s="3550"/>
      <c r="F4" s="3550"/>
      <c r="G4" s="3550"/>
      <c r="H4" s="3550"/>
      <c r="I4" s="3550"/>
      <c r="J4" s="3551"/>
      <c r="K4" s="1779"/>
    </row>
    <row r="5" spans="2:13">
      <c r="B5" s="655" t="s">
        <v>8</v>
      </c>
      <c r="C5" s="3543" t="s">
        <v>356</v>
      </c>
      <c r="D5" s="3544"/>
      <c r="E5" s="3544"/>
      <c r="F5" s="3544"/>
      <c r="G5" s="3544"/>
      <c r="H5" s="3544"/>
      <c r="I5" s="3544"/>
      <c r="J5" s="3545"/>
      <c r="K5" s="1780"/>
    </row>
    <row r="6" spans="2:13" ht="26.25" customHeight="1">
      <c r="B6" s="655" t="s">
        <v>11</v>
      </c>
      <c r="C6" s="3552" t="s">
        <v>397</v>
      </c>
      <c r="D6" s="3544"/>
      <c r="E6" s="3544"/>
      <c r="F6" s="3544"/>
      <c r="G6" s="3544"/>
      <c r="H6" s="3544"/>
      <c r="I6" s="3544"/>
      <c r="J6" s="3545"/>
      <c r="K6" s="1780"/>
    </row>
    <row r="7" spans="2:13">
      <c r="B7" s="655" t="s">
        <v>16</v>
      </c>
      <c r="C7" s="3543" t="s">
        <v>12</v>
      </c>
      <c r="D7" s="3544"/>
      <c r="E7" s="3544"/>
      <c r="F7" s="3544"/>
      <c r="G7" s="3544"/>
      <c r="H7" s="3544"/>
      <c r="I7" s="3544"/>
      <c r="J7" s="3545"/>
      <c r="K7" s="1780"/>
    </row>
    <row r="8" spans="2:13">
      <c r="B8" s="655" t="s">
        <v>9</v>
      </c>
      <c r="C8" s="3543" t="s">
        <v>398</v>
      </c>
      <c r="D8" s="3544"/>
      <c r="E8" s="3544"/>
      <c r="F8" s="3544"/>
      <c r="G8" s="3544"/>
      <c r="H8" s="3544"/>
      <c r="I8" s="3544"/>
      <c r="J8" s="3545"/>
      <c r="K8" s="1780"/>
    </row>
    <row r="9" spans="2:13" ht="27" customHeight="1">
      <c r="B9" s="297" t="s">
        <v>66</v>
      </c>
      <c r="C9" s="3555" t="s">
        <v>380</v>
      </c>
      <c r="D9" s="3556"/>
      <c r="E9" s="3556"/>
      <c r="F9" s="3556"/>
      <c r="G9" s="3556"/>
      <c r="H9" s="3556"/>
      <c r="I9" s="3556"/>
      <c r="J9" s="3557"/>
      <c r="K9" s="1781"/>
    </row>
    <row r="10" spans="2:13" ht="25.5" customHeight="1">
      <c r="B10" s="297" t="s">
        <v>67</v>
      </c>
      <c r="C10" s="3555" t="s">
        <v>381</v>
      </c>
      <c r="D10" s="3556"/>
      <c r="E10" s="3556"/>
      <c r="F10" s="3556"/>
      <c r="G10" s="3556"/>
      <c r="H10" s="3556"/>
      <c r="I10" s="3556"/>
      <c r="J10" s="3557"/>
      <c r="K10" s="1781"/>
    </row>
    <row r="11" spans="2:13" ht="23.25" customHeight="1">
      <c r="B11" s="297" t="s">
        <v>68</v>
      </c>
      <c r="C11" s="3555" t="s">
        <v>382</v>
      </c>
      <c r="D11" s="3556"/>
      <c r="E11" s="3556"/>
      <c r="F11" s="3556"/>
      <c r="G11" s="3556"/>
      <c r="H11" s="3556"/>
      <c r="I11" s="3556"/>
      <c r="J11" s="3557"/>
      <c r="K11" s="1781"/>
    </row>
    <row r="12" spans="2:13" ht="58.5" customHeight="1" thickBot="1">
      <c r="B12" s="656" t="s">
        <v>21</v>
      </c>
      <c r="C12" s="3558" t="s">
        <v>765</v>
      </c>
      <c r="D12" s="3559"/>
      <c r="E12" s="3559"/>
      <c r="F12" s="3559"/>
      <c r="G12" s="3559"/>
      <c r="H12" s="3559"/>
      <c r="I12" s="3559"/>
      <c r="J12" s="3560"/>
      <c r="K12" s="1782"/>
    </row>
    <row r="13" spans="2:13" ht="4.5" customHeight="1">
      <c r="B13" s="1313"/>
      <c r="C13" s="650"/>
      <c r="D13" s="650"/>
      <c r="E13" s="650"/>
      <c r="F13" s="650"/>
      <c r="G13" s="650"/>
      <c r="H13" s="650"/>
      <c r="I13" s="650"/>
      <c r="J13" s="657"/>
      <c r="K13" s="657"/>
    </row>
    <row r="14" spans="2:13">
      <c r="B14" s="651" t="s">
        <v>435</v>
      </c>
      <c r="C14" s="650"/>
      <c r="D14" s="650"/>
      <c r="E14" s="650"/>
      <c r="F14" s="650"/>
      <c r="G14" s="650"/>
      <c r="H14" s="650"/>
      <c r="I14" s="650"/>
      <c r="J14" s="657"/>
      <c r="K14" s="657"/>
      <c r="L14" s="1313"/>
      <c r="M14" s="1313"/>
    </row>
    <row r="15" spans="2:13" ht="2.25" customHeight="1" thickBot="1">
      <c r="B15" s="911"/>
      <c r="C15" s="657"/>
      <c r="D15" s="657"/>
      <c r="E15" s="657"/>
      <c r="F15" s="657"/>
      <c r="G15" s="657"/>
      <c r="H15" s="657"/>
      <c r="I15" s="657"/>
      <c r="J15" s="657"/>
      <c r="K15" s="657"/>
      <c r="L15" s="1313"/>
      <c r="M15" s="1313"/>
    </row>
    <row r="16" spans="2:13" ht="15.75" customHeight="1" thickBot="1">
      <c r="B16" s="3561" t="s">
        <v>68</v>
      </c>
      <c r="C16" s="3563" t="s">
        <v>11</v>
      </c>
      <c r="D16" s="3561" t="s">
        <v>78</v>
      </c>
      <c r="E16" s="3565"/>
      <c r="F16" s="3568" t="s">
        <v>324</v>
      </c>
      <c r="G16" s="3569"/>
      <c r="H16" s="3569"/>
      <c r="I16" s="3569"/>
      <c r="J16" s="3569"/>
      <c r="K16" s="3569"/>
      <c r="L16" s="3570"/>
      <c r="M16" s="1783"/>
    </row>
    <row r="17" spans="1:13" ht="41.25" customHeight="1" thickBot="1">
      <c r="B17" s="3562"/>
      <c r="C17" s="3564"/>
      <c r="D17" s="3566"/>
      <c r="E17" s="3567"/>
      <c r="F17" s="1315" t="s">
        <v>446</v>
      </c>
      <c r="G17" s="1315" t="s">
        <v>588</v>
      </c>
      <c r="H17" s="1316" t="s">
        <v>587</v>
      </c>
      <c r="I17" s="1316" t="s">
        <v>763</v>
      </c>
      <c r="J17" s="1317" t="s">
        <v>764</v>
      </c>
      <c r="K17" s="1314" t="s">
        <v>783</v>
      </c>
      <c r="L17" s="1314" t="s">
        <v>834</v>
      </c>
      <c r="M17" s="1784"/>
    </row>
    <row r="18" spans="1:13" ht="15.75" customHeight="1">
      <c r="B18" s="3571" t="s">
        <v>238</v>
      </c>
      <c r="C18" s="3574" t="s">
        <v>239</v>
      </c>
      <c r="D18" s="3577" t="s">
        <v>240</v>
      </c>
      <c r="E18" s="3577"/>
      <c r="F18" s="516">
        <v>151</v>
      </c>
      <c r="G18" s="517">
        <v>219</v>
      </c>
      <c r="H18" s="816">
        <v>6</v>
      </c>
      <c r="I18" s="816">
        <v>0</v>
      </c>
      <c r="J18" s="912">
        <v>0</v>
      </c>
      <c r="K18" s="1309">
        <v>0</v>
      </c>
      <c r="L18" s="1309">
        <v>0</v>
      </c>
      <c r="M18" s="1785"/>
    </row>
    <row r="19" spans="1:13">
      <c r="B19" s="3572"/>
      <c r="C19" s="3575"/>
      <c r="D19" s="3578" t="s">
        <v>241</v>
      </c>
      <c r="E19" s="3578"/>
      <c r="F19" s="518">
        <v>186</v>
      </c>
      <c r="G19" s="519">
        <v>341</v>
      </c>
      <c r="H19" s="817">
        <v>49</v>
      </c>
      <c r="I19" s="817">
        <v>0</v>
      </c>
      <c r="J19" s="913">
        <v>0</v>
      </c>
      <c r="K19" s="1310">
        <v>0</v>
      </c>
      <c r="L19" s="1310">
        <v>0</v>
      </c>
      <c r="M19" s="1785"/>
    </row>
    <row r="20" spans="1:13">
      <c r="B20" s="3572"/>
      <c r="C20" s="3575"/>
      <c r="D20" s="3578" t="s">
        <v>242</v>
      </c>
      <c r="E20" s="3578"/>
      <c r="F20" s="518">
        <v>79</v>
      </c>
      <c r="G20" s="519">
        <v>77</v>
      </c>
      <c r="H20" s="817">
        <v>1</v>
      </c>
      <c r="I20" s="817">
        <v>0</v>
      </c>
      <c r="J20" s="913">
        <v>0</v>
      </c>
      <c r="K20" s="1310">
        <v>0</v>
      </c>
      <c r="L20" s="1310">
        <v>0</v>
      </c>
      <c r="M20" s="1785"/>
    </row>
    <row r="21" spans="1:13" ht="15.75" thickBot="1">
      <c r="B21" s="3573"/>
      <c r="C21" s="3576"/>
      <c r="D21" s="3579" t="s">
        <v>214</v>
      </c>
      <c r="E21" s="3579"/>
      <c r="F21" s="530">
        <v>416</v>
      </c>
      <c r="G21" s="530">
        <v>637</v>
      </c>
      <c r="H21" s="530">
        <v>56</v>
      </c>
      <c r="I21" s="530">
        <v>0</v>
      </c>
      <c r="J21" s="914">
        <v>0</v>
      </c>
      <c r="K21" s="1311">
        <v>0</v>
      </c>
      <c r="L21" s="1311">
        <v>0</v>
      </c>
      <c r="M21" s="1786"/>
    </row>
    <row r="22" spans="1:13" s="658" customFormat="1">
      <c r="B22" s="3581" t="s">
        <v>243</v>
      </c>
      <c r="C22" s="3584" t="s">
        <v>244</v>
      </c>
      <c r="D22" s="1776" t="s">
        <v>245</v>
      </c>
      <c r="E22" s="1776"/>
      <c r="F22" s="528">
        <v>76143.600000000006</v>
      </c>
      <c r="G22" s="528">
        <v>137046.38000000032</v>
      </c>
      <c r="H22" s="529">
        <v>116114.28000000044</v>
      </c>
      <c r="I22" s="529">
        <v>21912.200000000004</v>
      </c>
      <c r="J22" s="529">
        <v>2972.17</v>
      </c>
      <c r="K22" s="1312">
        <v>242.76</v>
      </c>
      <c r="L22" s="1312">
        <v>251.60999999999999</v>
      </c>
      <c r="M22" s="1787"/>
    </row>
    <row r="23" spans="1:13">
      <c r="B23" s="3582"/>
      <c r="C23" s="3585"/>
      <c r="D23" s="3587" t="s">
        <v>246</v>
      </c>
      <c r="E23" s="3587"/>
      <c r="F23" s="513">
        <v>49928</v>
      </c>
      <c r="G23" s="513">
        <v>0</v>
      </c>
      <c r="H23" s="512">
        <v>80122.399999999994</v>
      </c>
      <c r="I23" s="512">
        <v>0</v>
      </c>
      <c r="J23" s="512">
        <v>0</v>
      </c>
      <c r="K23" s="512">
        <v>0</v>
      </c>
      <c r="L23" s="512">
        <v>0</v>
      </c>
      <c r="M23" s="1788"/>
    </row>
    <row r="24" spans="1:13" ht="15.75" thickBot="1">
      <c r="B24" s="3583"/>
      <c r="C24" s="3586"/>
      <c r="D24" s="520" t="s">
        <v>247</v>
      </c>
      <c r="E24" s="520"/>
      <c r="F24" s="514">
        <v>72367.45</v>
      </c>
      <c r="G24" s="514">
        <v>124948.02000000025</v>
      </c>
      <c r="H24" s="515">
        <v>127848.49000000024</v>
      </c>
      <c r="I24" s="515">
        <v>25405.58</v>
      </c>
      <c r="J24" s="1105">
        <v>3591.0400000000004</v>
      </c>
      <c r="K24" s="1105">
        <v>71.02</v>
      </c>
      <c r="L24" s="1105">
        <v>270.81</v>
      </c>
      <c r="M24" s="1789"/>
    </row>
    <row r="25" spans="1:13" ht="15.75" thickBot="1">
      <c r="B25" s="910"/>
      <c r="C25" s="650"/>
      <c r="D25" s="650"/>
      <c r="E25" s="650"/>
      <c r="F25" s="650"/>
      <c r="G25" s="650"/>
      <c r="H25" s="650"/>
      <c r="I25" s="650"/>
      <c r="J25"/>
    </row>
    <row r="26" spans="1:13" ht="16.5" thickBot="1">
      <c r="A26" s="658"/>
      <c r="B26" s="3588" t="s">
        <v>338</v>
      </c>
      <c r="C26" s="3590" t="s">
        <v>399</v>
      </c>
      <c r="D26" s="3590"/>
      <c r="E26" s="3590"/>
      <c r="F26" s="3591"/>
      <c r="G26" s="3592" t="s">
        <v>400</v>
      </c>
      <c r="H26" s="3593"/>
      <c r="I26" s="3594"/>
      <c r="J26"/>
      <c r="K26"/>
    </row>
    <row r="27" spans="1:13" ht="39" customHeight="1" thickBot="1">
      <c r="B27" s="3589"/>
      <c r="C27" s="977" t="s">
        <v>401</v>
      </c>
      <c r="D27" s="978" t="s">
        <v>241</v>
      </c>
      <c r="E27" s="979" t="s">
        <v>242</v>
      </c>
      <c r="F27" s="978" t="s">
        <v>214</v>
      </c>
      <c r="G27" s="947" t="s">
        <v>245</v>
      </c>
      <c r="H27" s="963" t="s">
        <v>246</v>
      </c>
      <c r="I27" s="963" t="s">
        <v>247</v>
      </c>
      <c r="J27"/>
      <c r="K27"/>
    </row>
    <row r="28" spans="1:13" hidden="1">
      <c r="B28" s="814">
        <v>41640</v>
      </c>
      <c r="C28" s="685">
        <v>5</v>
      </c>
      <c r="D28" s="692">
        <v>20</v>
      </c>
      <c r="E28" s="685">
        <v>4</v>
      </c>
      <c r="F28" s="381">
        <f>SUM(C28:E28)</f>
        <v>29</v>
      </c>
      <c r="G28" s="699">
        <v>4390.28</v>
      </c>
      <c r="H28" s="707">
        <v>0</v>
      </c>
      <c r="I28" s="906">
        <v>3776.15</v>
      </c>
      <c r="J28"/>
      <c r="K28"/>
    </row>
    <row r="29" spans="1:13" hidden="1">
      <c r="B29" s="814">
        <v>41671</v>
      </c>
      <c r="C29" s="686">
        <v>6</v>
      </c>
      <c r="D29" s="693">
        <v>60</v>
      </c>
      <c r="E29" s="686">
        <v>5</v>
      </c>
      <c r="F29" s="382">
        <f t="shared" ref="F29:F52" si="0">SUM(C29:E29)</f>
        <v>71</v>
      </c>
      <c r="G29" s="700">
        <v>5626.4000000000033</v>
      </c>
      <c r="H29" s="708">
        <v>0</v>
      </c>
      <c r="I29" s="706">
        <v>4390.28</v>
      </c>
      <c r="J29"/>
      <c r="K29"/>
    </row>
    <row r="30" spans="1:13" hidden="1">
      <c r="B30" s="814">
        <v>41699</v>
      </c>
      <c r="C30" s="686">
        <v>28</v>
      </c>
      <c r="D30" s="693">
        <v>4</v>
      </c>
      <c r="E30" s="686">
        <v>0</v>
      </c>
      <c r="F30" s="382">
        <f t="shared" si="0"/>
        <v>32</v>
      </c>
      <c r="G30" s="701">
        <v>8877.3000000000011</v>
      </c>
      <c r="H30" s="708">
        <v>0</v>
      </c>
      <c r="I30" s="706">
        <v>5626.4000000000033</v>
      </c>
      <c r="J30"/>
      <c r="K30"/>
    </row>
    <row r="31" spans="1:13" hidden="1">
      <c r="B31" s="814">
        <v>41730</v>
      </c>
      <c r="C31" s="687">
        <v>35</v>
      </c>
      <c r="D31" s="694">
        <v>37</v>
      </c>
      <c r="E31" s="687">
        <v>9</v>
      </c>
      <c r="F31" s="382">
        <f t="shared" si="0"/>
        <v>81</v>
      </c>
      <c r="G31" s="702">
        <v>10436.099999999999</v>
      </c>
      <c r="H31" s="708">
        <v>0</v>
      </c>
      <c r="I31" s="706">
        <v>8877.2999999999993</v>
      </c>
      <c r="J31"/>
      <c r="K31"/>
    </row>
    <row r="32" spans="1:13" hidden="1">
      <c r="B32" s="814">
        <v>41760</v>
      </c>
      <c r="C32" s="688">
        <v>32</v>
      </c>
      <c r="D32" s="694">
        <v>4</v>
      </c>
      <c r="E32" s="687">
        <v>13</v>
      </c>
      <c r="F32" s="382">
        <f t="shared" si="0"/>
        <v>49</v>
      </c>
      <c r="G32" s="703">
        <v>11000.090000000004</v>
      </c>
      <c r="H32" s="708">
        <v>0</v>
      </c>
      <c r="I32" s="706">
        <v>10436.099999999999</v>
      </c>
      <c r="J32"/>
      <c r="K32"/>
    </row>
    <row r="33" spans="1:11" hidden="1">
      <c r="B33" s="814">
        <v>41791</v>
      </c>
      <c r="C33" s="688">
        <v>8</v>
      </c>
      <c r="D33" s="695">
        <v>0</v>
      </c>
      <c r="E33" s="688">
        <v>16</v>
      </c>
      <c r="F33" s="382">
        <f t="shared" si="0"/>
        <v>24</v>
      </c>
      <c r="G33" s="703">
        <v>10120.450000000004</v>
      </c>
      <c r="H33" s="708">
        <v>0</v>
      </c>
      <c r="I33" s="706">
        <v>11000.090000000004</v>
      </c>
      <c r="J33"/>
      <c r="K33"/>
    </row>
    <row r="34" spans="1:11" hidden="1">
      <c r="B34" s="814">
        <v>41821</v>
      </c>
      <c r="C34" s="688">
        <v>67</v>
      </c>
      <c r="D34" s="695" t="s">
        <v>402</v>
      </c>
      <c r="E34" s="688">
        <v>97</v>
      </c>
      <c r="F34" s="382">
        <f t="shared" si="0"/>
        <v>164</v>
      </c>
      <c r="G34" s="703">
        <v>16005.050000000059</v>
      </c>
      <c r="H34" s="708">
        <v>0</v>
      </c>
      <c r="I34" s="706">
        <v>10120.450000000004</v>
      </c>
      <c r="J34"/>
      <c r="K34"/>
    </row>
    <row r="35" spans="1:11" hidden="1">
      <c r="B35" s="814">
        <v>41852</v>
      </c>
      <c r="C35" s="688">
        <v>6</v>
      </c>
      <c r="D35" s="695">
        <v>12</v>
      </c>
      <c r="E35" s="688">
        <v>7</v>
      </c>
      <c r="F35" s="382">
        <f t="shared" si="0"/>
        <v>25</v>
      </c>
      <c r="G35" s="701">
        <v>13490.900000000038</v>
      </c>
      <c r="H35" s="708">
        <v>0</v>
      </c>
      <c r="I35" s="706">
        <v>16005.050000000059</v>
      </c>
      <c r="J35"/>
      <c r="K35"/>
    </row>
    <row r="36" spans="1:11" hidden="1">
      <c r="B36" s="814">
        <v>41883</v>
      </c>
      <c r="C36" s="687">
        <v>6</v>
      </c>
      <c r="D36" s="696">
        <v>10</v>
      </c>
      <c r="E36" s="689">
        <v>9</v>
      </c>
      <c r="F36" s="382">
        <f t="shared" si="0"/>
        <v>25</v>
      </c>
      <c r="G36" s="701">
        <v>13825.600000000046</v>
      </c>
      <c r="H36" s="708">
        <v>0</v>
      </c>
      <c r="I36" s="706">
        <v>13490.900000000038</v>
      </c>
      <c r="J36"/>
      <c r="K36"/>
    </row>
    <row r="37" spans="1:11" hidden="1">
      <c r="B37" s="814">
        <v>41913</v>
      </c>
      <c r="C37" s="690">
        <v>4</v>
      </c>
      <c r="D37" s="697">
        <v>24</v>
      </c>
      <c r="E37" s="690">
        <v>7</v>
      </c>
      <c r="F37" s="382">
        <f t="shared" si="0"/>
        <v>35</v>
      </c>
      <c r="G37" s="701">
        <v>13441.46</v>
      </c>
      <c r="H37" s="708">
        <v>0</v>
      </c>
      <c r="I37" s="706">
        <v>13825.600000000046</v>
      </c>
      <c r="J37"/>
      <c r="K37"/>
    </row>
    <row r="38" spans="1:11" hidden="1">
      <c r="B38" s="814">
        <v>41944</v>
      </c>
      <c r="C38" s="690">
        <v>33</v>
      </c>
      <c r="D38" s="697">
        <v>25</v>
      </c>
      <c r="E38" s="690">
        <v>7</v>
      </c>
      <c r="F38" s="382">
        <f t="shared" si="0"/>
        <v>65</v>
      </c>
      <c r="G38" s="701">
        <v>13958.24</v>
      </c>
      <c r="H38" s="708">
        <v>0</v>
      </c>
      <c r="I38" s="706">
        <v>13441.46</v>
      </c>
      <c r="J38"/>
      <c r="K38"/>
    </row>
    <row r="39" spans="1:11" hidden="1">
      <c r="B39" s="814">
        <v>41974</v>
      </c>
      <c r="C39" s="690">
        <v>13</v>
      </c>
      <c r="D39" s="697">
        <v>24</v>
      </c>
      <c r="E39" s="690" t="s">
        <v>402</v>
      </c>
      <c r="F39" s="382">
        <f t="shared" si="0"/>
        <v>37</v>
      </c>
      <c r="G39" s="701">
        <v>15874.510000000068</v>
      </c>
      <c r="H39" s="709">
        <v>0</v>
      </c>
      <c r="I39" s="705">
        <v>13958.24</v>
      </c>
      <c r="J39"/>
      <c r="K39"/>
    </row>
    <row r="40" spans="1:11" s="659" customFormat="1" ht="17.25" hidden="1">
      <c r="A40" s="652"/>
      <c r="B40" s="809">
        <v>42005</v>
      </c>
      <c r="C40" s="968">
        <v>0</v>
      </c>
      <c r="D40" s="967">
        <v>11</v>
      </c>
      <c r="E40" s="968">
        <v>0</v>
      </c>
      <c r="F40" s="969">
        <f>SUM(C40:E40)</f>
        <v>11</v>
      </c>
      <c r="G40" s="970">
        <v>14595.450000000106</v>
      </c>
      <c r="H40" s="971">
        <v>0</v>
      </c>
      <c r="I40" s="972">
        <v>15874.5100000001</v>
      </c>
      <c r="J40"/>
      <c r="K40"/>
    </row>
    <row r="41" spans="1:11" hidden="1">
      <c r="B41" s="814">
        <v>42036</v>
      </c>
      <c r="C41" s="690">
        <v>0</v>
      </c>
      <c r="D41" s="697">
        <v>0</v>
      </c>
      <c r="E41" s="690">
        <v>0</v>
      </c>
      <c r="F41" s="382">
        <f t="shared" si="0"/>
        <v>0</v>
      </c>
      <c r="G41" s="701">
        <v>13582.660000000065</v>
      </c>
      <c r="H41" s="709">
        <v>0</v>
      </c>
      <c r="I41" s="705">
        <v>0</v>
      </c>
      <c r="J41"/>
      <c r="K41"/>
    </row>
    <row r="42" spans="1:11" hidden="1">
      <c r="B42" s="814">
        <v>42064</v>
      </c>
      <c r="C42" s="690">
        <v>0</v>
      </c>
      <c r="D42" s="697">
        <v>0</v>
      </c>
      <c r="E42" s="690">
        <v>0</v>
      </c>
      <c r="F42" s="382">
        <f t="shared" si="0"/>
        <v>0</v>
      </c>
      <c r="G42" s="701">
        <v>12252.19</v>
      </c>
      <c r="H42" s="709">
        <v>20089</v>
      </c>
      <c r="I42" s="705">
        <v>14595.450000000106</v>
      </c>
      <c r="J42"/>
      <c r="K42"/>
    </row>
    <row r="43" spans="1:11" hidden="1">
      <c r="B43" s="814">
        <v>42095</v>
      </c>
      <c r="C43" s="690">
        <v>4</v>
      </c>
      <c r="D43" s="697">
        <v>19</v>
      </c>
      <c r="E43" s="690">
        <v>0</v>
      </c>
      <c r="F43" s="382">
        <f t="shared" si="0"/>
        <v>23</v>
      </c>
      <c r="G43" s="701">
        <v>12369.070000000052</v>
      </c>
      <c r="H43" s="709">
        <v>0</v>
      </c>
      <c r="I43" s="705">
        <v>0</v>
      </c>
      <c r="J43"/>
      <c r="K43"/>
    </row>
    <row r="44" spans="1:11" hidden="1">
      <c r="B44" s="814">
        <v>42125</v>
      </c>
      <c r="C44" s="690">
        <v>1</v>
      </c>
      <c r="D44" s="697">
        <v>8</v>
      </c>
      <c r="E44" s="690">
        <v>0</v>
      </c>
      <c r="F44" s="382">
        <f t="shared" si="0"/>
        <v>9</v>
      </c>
      <c r="G44" s="701">
        <v>11113.010000000046</v>
      </c>
      <c r="H44" s="709">
        <v>0</v>
      </c>
      <c r="I44" s="705">
        <v>24621.26</v>
      </c>
      <c r="J44"/>
      <c r="K44"/>
    </row>
    <row r="45" spans="1:11" hidden="1">
      <c r="B45" s="814">
        <v>42156</v>
      </c>
      <c r="C45" s="690" t="s">
        <v>402</v>
      </c>
      <c r="D45" s="697">
        <v>7</v>
      </c>
      <c r="E45" s="690">
        <v>1</v>
      </c>
      <c r="F45" s="382">
        <f t="shared" si="0"/>
        <v>8</v>
      </c>
      <c r="G45" s="701">
        <v>10440.270000000035</v>
      </c>
      <c r="H45" s="709">
        <v>0</v>
      </c>
      <c r="I45" s="705">
        <v>11113.010000000046</v>
      </c>
      <c r="J45"/>
      <c r="K45"/>
    </row>
    <row r="46" spans="1:11" hidden="1">
      <c r="B46" s="814">
        <v>42186</v>
      </c>
      <c r="C46" s="690">
        <v>1</v>
      </c>
      <c r="D46" s="697">
        <v>4</v>
      </c>
      <c r="E46" s="690" t="s">
        <v>402</v>
      </c>
      <c r="F46" s="382">
        <f t="shared" si="0"/>
        <v>5</v>
      </c>
      <c r="G46" s="701">
        <v>10205.160000000031</v>
      </c>
      <c r="H46" s="709">
        <v>0</v>
      </c>
      <c r="I46" s="705">
        <v>10440.270000000035</v>
      </c>
      <c r="J46"/>
      <c r="K46"/>
    </row>
    <row r="47" spans="1:11" hidden="1">
      <c r="B47" s="814">
        <v>42217</v>
      </c>
      <c r="C47" s="690" t="s">
        <v>402</v>
      </c>
      <c r="D47" s="697" t="s">
        <v>402</v>
      </c>
      <c r="E47" s="690" t="s">
        <v>402</v>
      </c>
      <c r="F47" s="382">
        <f t="shared" si="0"/>
        <v>0</v>
      </c>
      <c r="G47" s="701">
        <v>7805.4800000000159</v>
      </c>
      <c r="H47" s="709">
        <v>0</v>
      </c>
      <c r="I47" s="705">
        <v>10205.16</v>
      </c>
      <c r="J47"/>
      <c r="K47"/>
    </row>
    <row r="48" spans="1:11" hidden="1">
      <c r="B48" s="814">
        <v>42248</v>
      </c>
      <c r="C48" s="691" t="s">
        <v>402</v>
      </c>
      <c r="D48" s="698" t="s">
        <v>402</v>
      </c>
      <c r="E48" s="691" t="s">
        <v>402</v>
      </c>
      <c r="F48" s="383">
        <f t="shared" si="0"/>
        <v>0</v>
      </c>
      <c r="G48" s="704">
        <v>7467.1900000000205</v>
      </c>
      <c r="H48" s="708">
        <v>31263.4</v>
      </c>
      <c r="I48" s="706">
        <v>7805.4800000000159</v>
      </c>
      <c r="J48"/>
      <c r="K48"/>
    </row>
    <row r="49" spans="2:11" hidden="1">
      <c r="B49" s="814">
        <v>42278</v>
      </c>
      <c r="C49" s="690" t="s">
        <v>402</v>
      </c>
      <c r="D49" s="697" t="s">
        <v>402</v>
      </c>
      <c r="E49" s="690" t="s">
        <v>402</v>
      </c>
      <c r="F49" s="382">
        <f t="shared" si="0"/>
        <v>0</v>
      </c>
      <c r="G49" s="701">
        <v>6744.5200000000086</v>
      </c>
      <c r="H49" s="709">
        <v>0</v>
      </c>
      <c r="I49" s="705">
        <v>7467.1900000000205</v>
      </c>
      <c r="J49"/>
      <c r="K49"/>
    </row>
    <row r="50" spans="2:11" hidden="1">
      <c r="B50" s="814">
        <v>42309</v>
      </c>
      <c r="C50" s="691" t="s">
        <v>402</v>
      </c>
      <c r="D50" s="698" t="s">
        <v>402</v>
      </c>
      <c r="E50" s="691" t="s">
        <v>402</v>
      </c>
      <c r="F50" s="383">
        <f t="shared" si="0"/>
        <v>0</v>
      </c>
      <c r="G50" s="704">
        <v>5398.9800000000041</v>
      </c>
      <c r="H50" s="708">
        <v>28770</v>
      </c>
      <c r="I50" s="706">
        <v>6744.5200000000086</v>
      </c>
      <c r="J50"/>
      <c r="K50"/>
    </row>
    <row r="51" spans="2:11" hidden="1">
      <c r="B51" s="814">
        <v>42339</v>
      </c>
      <c r="C51" s="690" t="s">
        <v>402</v>
      </c>
      <c r="D51" s="697" t="s">
        <v>402</v>
      </c>
      <c r="E51" s="690" t="s">
        <v>402</v>
      </c>
      <c r="F51" s="382">
        <f t="shared" si="0"/>
        <v>0</v>
      </c>
      <c r="G51" s="701">
        <v>4140.3000000000029</v>
      </c>
      <c r="H51" s="709">
        <v>0</v>
      </c>
      <c r="I51" s="705">
        <v>5398.9800000000041</v>
      </c>
      <c r="J51"/>
      <c r="K51"/>
    </row>
    <row r="52" spans="2:11" hidden="1">
      <c r="B52" s="809">
        <v>42370</v>
      </c>
      <c r="C52" s="968">
        <v>0</v>
      </c>
      <c r="D52" s="967">
        <v>0</v>
      </c>
      <c r="E52" s="968">
        <v>0</v>
      </c>
      <c r="F52" s="969">
        <f t="shared" si="0"/>
        <v>0</v>
      </c>
      <c r="G52" s="970">
        <v>3400.8300000000027</v>
      </c>
      <c r="H52" s="971">
        <v>0</v>
      </c>
      <c r="I52" s="971">
        <v>4140.3000000000029</v>
      </c>
      <c r="J52"/>
      <c r="K52"/>
    </row>
    <row r="53" spans="2:11" hidden="1">
      <c r="B53" s="814">
        <v>42401</v>
      </c>
      <c r="C53" s="690">
        <v>0</v>
      </c>
      <c r="D53" s="697">
        <v>0</v>
      </c>
      <c r="E53" s="690">
        <v>0</v>
      </c>
      <c r="F53" s="382">
        <f>SUM(C53:E53)</f>
        <v>0</v>
      </c>
      <c r="G53" s="701">
        <v>2969.4400000000014</v>
      </c>
      <c r="H53" s="709">
        <v>0</v>
      </c>
      <c r="I53" s="709">
        <v>3400.8300000000027</v>
      </c>
      <c r="J53"/>
      <c r="K53"/>
    </row>
    <row r="54" spans="2:11" hidden="1">
      <c r="B54" s="814">
        <v>42430</v>
      </c>
      <c r="C54" s="690">
        <v>0</v>
      </c>
      <c r="D54" s="697">
        <v>0</v>
      </c>
      <c r="E54" s="690">
        <v>0</v>
      </c>
      <c r="F54" s="382">
        <f>SUM(C54:E54)</f>
        <v>0</v>
      </c>
      <c r="G54" s="701">
        <v>2803.9800000000014</v>
      </c>
      <c r="H54" s="709">
        <v>0</v>
      </c>
      <c r="I54" s="709">
        <v>2969.4400000000014</v>
      </c>
      <c r="J54"/>
      <c r="K54"/>
    </row>
    <row r="55" spans="2:11" hidden="1">
      <c r="B55" s="814">
        <v>42461</v>
      </c>
      <c r="C55" s="690">
        <v>0</v>
      </c>
      <c r="D55" s="697">
        <v>0</v>
      </c>
      <c r="E55" s="690">
        <v>0</v>
      </c>
      <c r="F55" s="382">
        <f>SUM(C55:E55)</f>
        <v>0</v>
      </c>
      <c r="G55" s="701">
        <v>2680.4500000000007</v>
      </c>
      <c r="H55" s="709">
        <v>0</v>
      </c>
      <c r="I55" s="709">
        <v>2803.9800000000014</v>
      </c>
      <c r="J55"/>
      <c r="K55"/>
    </row>
    <row r="56" spans="2:11" hidden="1">
      <c r="B56" s="814">
        <v>42491</v>
      </c>
      <c r="C56" s="690">
        <v>0</v>
      </c>
      <c r="D56" s="697">
        <v>0</v>
      </c>
      <c r="E56" s="690">
        <v>0</v>
      </c>
      <c r="F56" s="382">
        <v>0</v>
      </c>
      <c r="G56" s="701">
        <v>2170.3000000000006</v>
      </c>
      <c r="H56" s="709">
        <v>0</v>
      </c>
      <c r="I56" s="964">
        <v>0</v>
      </c>
      <c r="J56"/>
      <c r="K56"/>
    </row>
    <row r="57" spans="2:11" hidden="1">
      <c r="B57" s="814">
        <v>42522</v>
      </c>
      <c r="C57" s="690">
        <v>0</v>
      </c>
      <c r="D57" s="697">
        <v>0</v>
      </c>
      <c r="E57" s="690">
        <v>0</v>
      </c>
      <c r="F57" s="382">
        <v>0</v>
      </c>
      <c r="G57" s="701">
        <v>1849.1100000000008</v>
      </c>
      <c r="H57" s="709">
        <v>0</v>
      </c>
      <c r="I57" s="964">
        <v>4850.7500000000018</v>
      </c>
      <c r="J57"/>
      <c r="K57"/>
    </row>
    <row r="58" spans="2:11" hidden="1">
      <c r="B58" s="814">
        <v>42552</v>
      </c>
      <c r="C58" s="690">
        <v>0</v>
      </c>
      <c r="D58" s="697">
        <v>0</v>
      </c>
      <c r="E58" s="690">
        <v>0</v>
      </c>
      <c r="F58" s="382">
        <v>0</v>
      </c>
      <c r="G58" s="701">
        <v>1494.3900000000008</v>
      </c>
      <c r="H58" s="709">
        <v>0</v>
      </c>
      <c r="I58" s="965">
        <v>1849.1100000000008</v>
      </c>
      <c r="J58"/>
      <c r="K58"/>
    </row>
    <row r="59" spans="2:11" hidden="1">
      <c r="B59" s="814">
        <v>42583</v>
      </c>
      <c r="C59" s="690">
        <v>0</v>
      </c>
      <c r="D59" s="697">
        <v>0</v>
      </c>
      <c r="E59" s="690">
        <v>0</v>
      </c>
      <c r="F59" s="382">
        <v>0</v>
      </c>
      <c r="G59" s="701">
        <v>1157.2100000000005</v>
      </c>
      <c r="H59" s="709">
        <v>0</v>
      </c>
      <c r="I59" s="966">
        <v>1494.3900000000008</v>
      </c>
      <c r="J59"/>
      <c r="K59"/>
    </row>
    <row r="60" spans="2:11" hidden="1">
      <c r="B60" s="814">
        <v>42614</v>
      </c>
      <c r="C60" s="690">
        <v>0</v>
      </c>
      <c r="D60" s="697">
        <v>0</v>
      </c>
      <c r="E60" s="690">
        <v>0</v>
      </c>
      <c r="F60" s="382">
        <v>0</v>
      </c>
      <c r="G60" s="701">
        <v>1035.0200000000002</v>
      </c>
      <c r="H60" s="709">
        <v>0</v>
      </c>
      <c r="I60" s="964">
        <v>1157.2100000000005</v>
      </c>
      <c r="J60"/>
      <c r="K60"/>
    </row>
    <row r="61" spans="2:11" hidden="1">
      <c r="B61" s="814">
        <v>42644</v>
      </c>
      <c r="C61" s="690">
        <v>0</v>
      </c>
      <c r="D61" s="697">
        <v>0</v>
      </c>
      <c r="E61" s="690">
        <v>0</v>
      </c>
      <c r="F61" s="382">
        <v>0</v>
      </c>
      <c r="G61" s="701">
        <v>918.24000000000012</v>
      </c>
      <c r="H61" s="709">
        <v>0</v>
      </c>
      <c r="I61" s="964">
        <v>1035.0200000000002</v>
      </c>
      <c r="J61"/>
      <c r="K61"/>
    </row>
    <row r="62" spans="2:11" hidden="1">
      <c r="B62" s="814">
        <v>42675</v>
      </c>
      <c r="C62" s="690">
        <v>0</v>
      </c>
      <c r="D62" s="697">
        <v>0</v>
      </c>
      <c r="E62" s="690">
        <v>0</v>
      </c>
      <c r="F62" s="382">
        <v>0</v>
      </c>
      <c r="G62" s="701">
        <v>0</v>
      </c>
      <c r="H62" s="709">
        <v>0</v>
      </c>
      <c r="I62" s="964">
        <v>0</v>
      </c>
      <c r="J62"/>
      <c r="K62"/>
    </row>
    <row r="63" spans="2:11" hidden="1">
      <c r="B63" s="1017">
        <v>42705</v>
      </c>
      <c r="C63" s="691">
        <v>0</v>
      </c>
      <c r="D63" s="698">
        <v>0</v>
      </c>
      <c r="E63" s="691">
        <v>0</v>
      </c>
      <c r="F63" s="383">
        <v>0</v>
      </c>
      <c r="G63" s="704">
        <v>0</v>
      </c>
      <c r="H63" s="708">
        <v>0</v>
      </c>
      <c r="I63" s="965">
        <v>0</v>
      </c>
      <c r="J63"/>
      <c r="K63"/>
    </row>
    <row r="64" spans="2:11" hidden="1">
      <c r="B64" s="1192">
        <v>42736</v>
      </c>
      <c r="C64" s="1019">
        <v>0</v>
      </c>
      <c r="D64" s="1018">
        <v>0</v>
      </c>
      <c r="E64" s="1019">
        <v>0</v>
      </c>
      <c r="F64" s="1248">
        <v>0</v>
      </c>
      <c r="G64" s="1259">
        <v>550.45000000000027</v>
      </c>
      <c r="H64" s="1260">
        <v>0</v>
      </c>
      <c r="I64" s="1259">
        <v>646.92000000000007</v>
      </c>
      <c r="J64"/>
      <c r="K64"/>
    </row>
    <row r="65" spans="2:11" hidden="1">
      <c r="B65" s="1193">
        <v>42767</v>
      </c>
      <c r="C65" s="697">
        <v>0</v>
      </c>
      <c r="D65" s="690">
        <v>0</v>
      </c>
      <c r="E65" s="697">
        <v>0</v>
      </c>
      <c r="F65" s="1249">
        <v>0</v>
      </c>
      <c r="G65" s="709">
        <v>441.47000000000014</v>
      </c>
      <c r="H65" s="701">
        <v>0</v>
      </c>
      <c r="I65" s="709">
        <v>550.45000000000027</v>
      </c>
      <c r="J65"/>
      <c r="K65"/>
    </row>
    <row r="66" spans="2:11" hidden="1">
      <c r="B66" s="1193">
        <v>42795</v>
      </c>
      <c r="C66" s="697">
        <v>0</v>
      </c>
      <c r="D66" s="690">
        <v>0</v>
      </c>
      <c r="E66" s="697">
        <v>0</v>
      </c>
      <c r="F66" s="1249">
        <v>0</v>
      </c>
      <c r="G66" s="709">
        <v>463.0300000000002</v>
      </c>
      <c r="H66" s="701">
        <v>0</v>
      </c>
      <c r="I66" s="709">
        <v>441.47000000000014</v>
      </c>
      <c r="J66"/>
      <c r="K66"/>
    </row>
    <row r="67" spans="2:11" hidden="1">
      <c r="B67" s="1193">
        <v>42826</v>
      </c>
      <c r="C67" s="697">
        <v>0</v>
      </c>
      <c r="D67" s="690">
        <v>0</v>
      </c>
      <c r="E67" s="697">
        <v>0</v>
      </c>
      <c r="F67" s="1249">
        <v>0</v>
      </c>
      <c r="G67" s="709">
        <v>393.90999999999997</v>
      </c>
      <c r="H67" s="701">
        <v>0</v>
      </c>
      <c r="I67" s="709">
        <v>463.0300000000002</v>
      </c>
      <c r="J67"/>
      <c r="K67"/>
    </row>
    <row r="68" spans="2:11" hidden="1">
      <c r="B68" s="1193">
        <v>42856</v>
      </c>
      <c r="C68" s="697">
        <v>0</v>
      </c>
      <c r="D68" s="690">
        <v>0</v>
      </c>
      <c r="E68" s="697">
        <v>0</v>
      </c>
      <c r="F68" s="1249">
        <v>0</v>
      </c>
      <c r="G68" s="709">
        <v>368.82000000000011</v>
      </c>
      <c r="H68" s="701">
        <v>0</v>
      </c>
      <c r="I68" s="709">
        <v>393.90999999999997</v>
      </c>
      <c r="J68"/>
      <c r="K68"/>
    </row>
    <row r="69" spans="2:11" hidden="1">
      <c r="B69" s="1193">
        <v>42887</v>
      </c>
      <c r="C69" s="697">
        <v>0</v>
      </c>
      <c r="D69" s="690">
        <v>0</v>
      </c>
      <c r="E69" s="697">
        <v>0</v>
      </c>
      <c r="F69" s="1249">
        <v>0</v>
      </c>
      <c r="G69" s="709">
        <v>235.47999999999993</v>
      </c>
      <c r="H69" s="701">
        <v>0</v>
      </c>
      <c r="I69" s="709">
        <v>368.82000000000011</v>
      </c>
      <c r="J69"/>
      <c r="K69"/>
    </row>
    <row r="70" spans="2:11" hidden="1">
      <c r="B70" s="1193">
        <v>42917</v>
      </c>
      <c r="C70" s="697">
        <v>0</v>
      </c>
      <c r="D70" s="690">
        <v>0</v>
      </c>
      <c r="E70" s="697">
        <v>0</v>
      </c>
      <c r="F70" s="1249">
        <v>0</v>
      </c>
      <c r="G70" s="709">
        <v>216.27999999999994</v>
      </c>
      <c r="H70" s="701">
        <v>0</v>
      </c>
      <c r="I70" s="709">
        <v>235.47999999999993</v>
      </c>
      <c r="J70"/>
      <c r="K70"/>
    </row>
    <row r="71" spans="2:11" hidden="1">
      <c r="B71" s="1193">
        <v>42948</v>
      </c>
      <c r="C71" s="697">
        <v>0</v>
      </c>
      <c r="D71" s="690">
        <v>0</v>
      </c>
      <c r="E71" s="697">
        <v>0</v>
      </c>
      <c r="F71" s="1249">
        <v>0</v>
      </c>
      <c r="G71" s="709">
        <v>115.2</v>
      </c>
      <c r="H71" s="701">
        <v>0</v>
      </c>
      <c r="I71" s="709">
        <v>216.27999999999994</v>
      </c>
      <c r="J71"/>
      <c r="K71"/>
    </row>
    <row r="72" spans="2:11" hidden="1">
      <c r="B72" s="1193">
        <v>42979</v>
      </c>
      <c r="C72" s="697">
        <v>0</v>
      </c>
      <c r="D72" s="690">
        <v>0</v>
      </c>
      <c r="E72" s="697">
        <v>0</v>
      </c>
      <c r="F72" s="1249">
        <v>0</v>
      </c>
      <c r="G72" s="709">
        <v>85.649999999999991</v>
      </c>
      <c r="H72" s="701">
        <v>0</v>
      </c>
      <c r="I72" s="709">
        <v>115.2</v>
      </c>
      <c r="J72"/>
      <c r="K72"/>
    </row>
    <row r="73" spans="2:11">
      <c r="B73" s="1193">
        <v>43009</v>
      </c>
      <c r="C73" s="697">
        <v>0</v>
      </c>
      <c r="D73" s="690">
        <v>0</v>
      </c>
      <c r="E73" s="697">
        <v>0</v>
      </c>
      <c r="F73" s="1249">
        <v>0</v>
      </c>
      <c r="G73" s="709">
        <v>73.83</v>
      </c>
      <c r="H73" s="701">
        <v>0</v>
      </c>
      <c r="I73" s="709">
        <v>85.649999999999991</v>
      </c>
      <c r="J73"/>
      <c r="K73"/>
    </row>
    <row r="74" spans="2:11">
      <c r="B74" s="1193">
        <v>43040</v>
      </c>
      <c r="C74" s="697">
        <v>0</v>
      </c>
      <c r="D74" s="690">
        <v>0</v>
      </c>
      <c r="E74" s="697">
        <v>0</v>
      </c>
      <c r="F74" s="1249">
        <v>0</v>
      </c>
      <c r="G74" s="709">
        <v>19.2</v>
      </c>
      <c r="H74" s="701">
        <v>0</v>
      </c>
      <c r="I74" s="709">
        <v>73.83</v>
      </c>
      <c r="J74"/>
      <c r="K74"/>
    </row>
    <row r="75" spans="2:11">
      <c r="B75" s="1193">
        <v>43070</v>
      </c>
      <c r="C75" s="697">
        <v>0</v>
      </c>
      <c r="D75" s="690">
        <v>0</v>
      </c>
      <c r="E75" s="697">
        <v>0</v>
      </c>
      <c r="F75" s="1249">
        <v>0</v>
      </c>
      <c r="G75" s="709">
        <v>8.85</v>
      </c>
      <c r="H75" s="701">
        <v>0</v>
      </c>
      <c r="I75" s="709">
        <v>0</v>
      </c>
      <c r="J75"/>
      <c r="K75"/>
    </row>
    <row r="76" spans="2:11">
      <c r="B76" s="1193">
        <v>43101</v>
      </c>
      <c r="C76" s="697">
        <v>0</v>
      </c>
      <c r="D76" s="690">
        <v>0</v>
      </c>
      <c r="E76" s="697">
        <v>0</v>
      </c>
      <c r="F76" s="1249">
        <v>0</v>
      </c>
      <c r="G76" s="709">
        <v>34.119999999999997</v>
      </c>
      <c r="H76" s="701">
        <v>0</v>
      </c>
      <c r="I76" s="709">
        <v>28.05</v>
      </c>
      <c r="J76"/>
      <c r="K76"/>
    </row>
    <row r="77" spans="2:11">
      <c r="B77" s="1193">
        <v>43132</v>
      </c>
      <c r="C77" s="697">
        <v>0</v>
      </c>
      <c r="D77" s="690">
        <v>0</v>
      </c>
      <c r="E77" s="697">
        <v>0</v>
      </c>
      <c r="F77" s="1249">
        <v>0</v>
      </c>
      <c r="G77" s="709">
        <v>8.85</v>
      </c>
      <c r="H77" s="701">
        <v>0</v>
      </c>
      <c r="I77" s="709">
        <v>34.119999999999997</v>
      </c>
      <c r="J77"/>
      <c r="K77"/>
    </row>
    <row r="78" spans="2:11">
      <c r="B78" s="1193">
        <v>43160</v>
      </c>
      <c r="C78" s="697">
        <v>0</v>
      </c>
      <c r="D78" s="690">
        <v>0</v>
      </c>
      <c r="E78" s="697">
        <v>0</v>
      </c>
      <c r="F78" s="1249">
        <v>0</v>
      </c>
      <c r="G78" s="709">
        <v>199.79</v>
      </c>
      <c r="H78" s="701">
        <v>0</v>
      </c>
      <c r="I78" s="709">
        <v>8.85</v>
      </c>
      <c r="J78"/>
      <c r="K78"/>
    </row>
    <row r="79" spans="2:11">
      <c r="B79" s="1193">
        <v>43191</v>
      </c>
      <c r="C79" s="697">
        <v>0</v>
      </c>
      <c r="D79" s="690">
        <v>0</v>
      </c>
      <c r="E79" s="697">
        <v>0</v>
      </c>
      <c r="F79" s="1249">
        <v>0</v>
      </c>
      <c r="G79" s="709">
        <v>0</v>
      </c>
      <c r="H79" s="701">
        <v>0</v>
      </c>
      <c r="I79" s="709">
        <v>0</v>
      </c>
      <c r="J79" s="2713"/>
      <c r="K79" s="2713"/>
    </row>
    <row r="80" spans="2:11">
      <c r="B80" s="1193">
        <v>43221</v>
      </c>
      <c r="C80" s="697">
        <v>0</v>
      </c>
      <c r="D80" s="690">
        <v>0</v>
      </c>
      <c r="E80" s="697">
        <v>0</v>
      </c>
      <c r="F80" s="1249">
        <v>0</v>
      </c>
      <c r="G80" s="709">
        <v>0</v>
      </c>
      <c r="H80" s="701">
        <v>0</v>
      </c>
      <c r="I80" s="709">
        <v>0</v>
      </c>
      <c r="J80"/>
      <c r="K80"/>
    </row>
    <row r="81" spans="1:11">
      <c r="B81" s="1193">
        <v>43252</v>
      </c>
      <c r="C81" s="697">
        <v>0</v>
      </c>
      <c r="D81" s="690">
        <v>0</v>
      </c>
      <c r="E81" s="697">
        <v>0</v>
      </c>
      <c r="F81" s="1249">
        <v>0</v>
      </c>
      <c r="G81" s="709">
        <v>0</v>
      </c>
      <c r="H81" s="701">
        <v>0</v>
      </c>
      <c r="I81" s="709">
        <v>0</v>
      </c>
      <c r="J81" s="2713"/>
      <c r="K81" s="2713"/>
    </row>
    <row r="82" spans="1:11">
      <c r="B82" s="1193">
        <v>43282</v>
      </c>
      <c r="C82" s="697">
        <v>0</v>
      </c>
      <c r="D82" s="690">
        <v>0</v>
      </c>
      <c r="E82" s="697">
        <v>0</v>
      </c>
      <c r="F82" s="1249">
        <v>0</v>
      </c>
      <c r="G82" s="709">
        <v>0</v>
      </c>
      <c r="H82" s="701">
        <v>0</v>
      </c>
      <c r="I82" s="709">
        <v>0</v>
      </c>
      <c r="J82" s="2713"/>
      <c r="K82" s="2713"/>
    </row>
    <row r="83" spans="1:11">
      <c r="B83" s="1193">
        <v>43313</v>
      </c>
      <c r="C83" s="697">
        <v>0</v>
      </c>
      <c r="D83" s="690">
        <v>0</v>
      </c>
      <c r="E83" s="697">
        <v>0</v>
      </c>
      <c r="F83" s="1249">
        <v>0</v>
      </c>
      <c r="G83" s="709">
        <v>0</v>
      </c>
      <c r="H83" s="701">
        <v>0</v>
      </c>
      <c r="I83" s="709">
        <v>0</v>
      </c>
      <c r="J83" s="2713"/>
      <c r="K83" s="2713"/>
    </row>
    <row r="84" spans="1:11" ht="15.75" thickBot="1">
      <c r="B84" s="1193">
        <v>43344</v>
      </c>
      <c r="C84" s="697">
        <v>0</v>
      </c>
      <c r="D84" s="690">
        <v>0</v>
      </c>
      <c r="E84" s="697">
        <v>0</v>
      </c>
      <c r="F84" s="1249">
        <v>0</v>
      </c>
      <c r="G84" s="1262">
        <v>0</v>
      </c>
      <c r="H84" s="1261">
        <v>0</v>
      </c>
      <c r="I84" s="1262">
        <v>0</v>
      </c>
      <c r="J84"/>
      <c r="K84"/>
    </row>
    <row r="85" spans="1:11" ht="17.25">
      <c r="A85" s="659"/>
      <c r="B85" s="3580"/>
      <c r="C85" s="3580"/>
      <c r="D85" s="3580"/>
      <c r="E85" s="3580"/>
      <c r="F85" s="659"/>
      <c r="G85" s="3580"/>
      <c r="H85" s="3580"/>
      <c r="I85" s="3580"/>
      <c r="J85" s="3580"/>
      <c r="K85" s="1775"/>
    </row>
  </sheetData>
  <mergeCells count="29">
    <mergeCell ref="B85:E85"/>
    <mergeCell ref="G85:J85"/>
    <mergeCell ref="B22:B24"/>
    <mergeCell ref="C22:C24"/>
    <mergeCell ref="D23:E23"/>
    <mergeCell ref="B26:B27"/>
    <mergeCell ref="C26:F26"/>
    <mergeCell ref="G26:I26"/>
    <mergeCell ref="B18:B21"/>
    <mergeCell ref="C18:C21"/>
    <mergeCell ref="D18:E18"/>
    <mergeCell ref="D19:E19"/>
    <mergeCell ref="D20:E20"/>
    <mergeCell ref="D21:E21"/>
    <mergeCell ref="C9:J9"/>
    <mergeCell ref="C10:J10"/>
    <mergeCell ref="C11:J11"/>
    <mergeCell ref="C12:J12"/>
    <mergeCell ref="B16:B17"/>
    <mergeCell ref="C16:C17"/>
    <mergeCell ref="D16:E17"/>
    <mergeCell ref="F16:L16"/>
    <mergeCell ref="C8:J8"/>
    <mergeCell ref="B2:J2"/>
    <mergeCell ref="C4:J4"/>
    <mergeCell ref="C5:J5"/>
    <mergeCell ref="C6:J6"/>
    <mergeCell ref="C7:J7"/>
    <mergeCell ref="C3:I3"/>
  </mergeCells>
  <pageMargins left="0.7" right="0.7" top="0.75" bottom="0.75" header="0.3" footer="0.3"/>
  <pageSetup paperSize="9" scale="73" orientation="landscape" r:id="rId1"/>
  <rowBreaks count="1" manualBreakCount="1">
    <brk id="25" max="9" man="1"/>
  </rowBreaks>
  <ignoredErrors>
    <ignoredError sqref="F40:F44 F52:F55"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tabColor theme="6" tint="-0.249977111117893"/>
  </sheetPr>
  <dimension ref="B1:O72"/>
  <sheetViews>
    <sheetView showGridLines="0" view="pageBreakPreview" topLeftCell="A9" zoomScale="60" zoomScaleNormal="85" workbookViewId="0">
      <selection activeCell="B68" sqref="B68:B71"/>
    </sheetView>
  </sheetViews>
  <sheetFormatPr baseColWidth="10" defaultColWidth="12" defaultRowHeight="15"/>
  <cols>
    <col min="1" max="1" width="0.6640625" style="324" customWidth="1"/>
    <col min="2" max="2" width="26.6640625" style="324" customWidth="1"/>
    <col min="3" max="3" width="42" style="324" customWidth="1"/>
    <col min="4" max="4" width="38.1640625" style="324" customWidth="1"/>
    <col min="5" max="5" width="24.83203125" style="324" customWidth="1"/>
    <col min="6" max="6" width="38.33203125" style="324" customWidth="1"/>
    <col min="7" max="16384" width="12" style="324"/>
  </cols>
  <sheetData>
    <row r="1" spans="2:15" ht="15.75" thickBot="1">
      <c r="B1" s="3598" t="s">
        <v>7</v>
      </c>
      <c r="C1" s="3599"/>
      <c r="D1" s="3599"/>
      <c r="E1" s="3599"/>
      <c r="F1" s="3600"/>
    </row>
    <row r="2" spans="2:15" ht="25.5">
      <c r="B2" s="325" t="s">
        <v>18</v>
      </c>
      <c r="C2" s="3601" t="s">
        <v>330</v>
      </c>
      <c r="D2" s="3602"/>
      <c r="E2" s="3603"/>
      <c r="F2" s="326" t="s">
        <v>331</v>
      </c>
    </row>
    <row r="3" spans="2:15" ht="28.5" customHeight="1">
      <c r="B3" s="327" t="s">
        <v>17</v>
      </c>
      <c r="C3" s="3595" t="s">
        <v>332</v>
      </c>
      <c r="D3" s="3596"/>
      <c r="E3" s="3596"/>
      <c r="F3" s="3597"/>
    </row>
    <row r="4" spans="2:15">
      <c r="B4" s="327" t="s">
        <v>8</v>
      </c>
      <c r="C4" s="3595" t="s">
        <v>333</v>
      </c>
      <c r="D4" s="3596"/>
      <c r="E4" s="3596"/>
      <c r="F4" s="3597"/>
    </row>
    <row r="5" spans="2:15">
      <c r="B5" s="327" t="s">
        <v>11</v>
      </c>
      <c r="C5" s="3595" t="s">
        <v>334</v>
      </c>
      <c r="D5" s="3596"/>
      <c r="E5" s="3596"/>
      <c r="F5" s="3597"/>
    </row>
    <row r="6" spans="2:15">
      <c r="B6" s="327" t="s">
        <v>16</v>
      </c>
      <c r="C6" s="3595" t="s">
        <v>12</v>
      </c>
      <c r="D6" s="3596"/>
      <c r="E6" s="3596"/>
      <c r="F6" s="3597"/>
    </row>
    <row r="7" spans="2:15">
      <c r="B7" s="327" t="s">
        <v>9</v>
      </c>
      <c r="C7" s="3595" t="s">
        <v>335</v>
      </c>
      <c r="D7" s="3596"/>
      <c r="E7" s="3596"/>
      <c r="F7" s="3597"/>
    </row>
    <row r="8" spans="2:15" ht="51" customHeight="1">
      <c r="B8" s="297" t="s">
        <v>66</v>
      </c>
      <c r="C8" s="3604" t="s">
        <v>387</v>
      </c>
      <c r="D8" s="3183"/>
      <c r="E8" s="3183"/>
      <c r="F8" s="3184"/>
    </row>
    <row r="9" spans="2:15" ht="15" customHeight="1">
      <c r="B9" s="297" t="s">
        <v>67</v>
      </c>
      <c r="C9" s="3595" t="s">
        <v>162</v>
      </c>
      <c r="D9" s="3596"/>
      <c r="E9" s="3596"/>
      <c r="F9" s="3597"/>
    </row>
    <row r="10" spans="2:15" ht="27" customHeight="1">
      <c r="B10" s="297" t="s">
        <v>68</v>
      </c>
      <c r="C10" s="3605" t="s">
        <v>336</v>
      </c>
      <c r="D10" s="3606"/>
      <c r="E10" s="3606"/>
      <c r="F10" s="3607"/>
      <c r="J10"/>
    </row>
    <row r="11" spans="2:15" ht="15.75" customHeight="1" thickBot="1">
      <c r="B11" s="328" t="s">
        <v>21</v>
      </c>
      <c r="C11" s="3608" t="s">
        <v>839</v>
      </c>
      <c r="D11" s="3609"/>
      <c r="E11" s="3609"/>
      <c r="F11" s="3610"/>
      <c r="L11"/>
      <c r="M11"/>
      <c r="N11"/>
      <c r="O11"/>
    </row>
    <row r="12" spans="2:15" ht="15.75" thickBot="1">
      <c r="B12" s="329"/>
      <c r="C12" s="330"/>
      <c r="D12" s="330"/>
      <c r="E12" s="330"/>
      <c r="F12" s="330"/>
      <c r="J12"/>
    </row>
    <row r="13" spans="2:15" ht="41.25" customHeight="1" thickBot="1">
      <c r="B13" s="763" t="s">
        <v>337</v>
      </c>
      <c r="C13" s="764">
        <v>26000000</v>
      </c>
      <c r="D13" s="765">
        <v>10820000</v>
      </c>
      <c r="E13" s="480">
        <v>308000</v>
      </c>
      <c r="F13" s="766">
        <v>10180000</v>
      </c>
      <c r="H13"/>
      <c r="I13"/>
      <c r="J13"/>
      <c r="K13"/>
    </row>
    <row r="14" spans="2:15" ht="81" customHeight="1" thickBot="1">
      <c r="B14" s="463" t="s">
        <v>338</v>
      </c>
      <c r="C14" s="417" t="s">
        <v>339</v>
      </c>
      <c r="D14" s="469" t="s">
        <v>340</v>
      </c>
      <c r="E14" s="417" t="s">
        <v>341</v>
      </c>
      <c r="F14" s="479" t="s">
        <v>342</v>
      </c>
    </row>
    <row r="15" spans="2:15" hidden="1">
      <c r="B15" s="499">
        <v>41640</v>
      </c>
      <c r="C15" s="389">
        <v>0.8</v>
      </c>
      <c r="D15" s="470">
        <v>0.22600000000000001</v>
      </c>
      <c r="E15" s="389">
        <v>0.02</v>
      </c>
      <c r="F15" s="393">
        <v>0.26</v>
      </c>
    </row>
    <row r="16" spans="2:15" hidden="1">
      <c r="B16" s="500">
        <v>41671</v>
      </c>
      <c r="C16" s="390">
        <v>0.85</v>
      </c>
      <c r="D16" s="471">
        <v>0.22550000000000001</v>
      </c>
      <c r="E16" s="390">
        <v>0.05</v>
      </c>
      <c r="F16" s="394">
        <v>0.26</v>
      </c>
    </row>
    <row r="17" spans="2:6" hidden="1">
      <c r="B17" s="500">
        <v>41699</v>
      </c>
      <c r="C17" s="390">
        <v>0.9</v>
      </c>
      <c r="D17" s="471">
        <v>0.23799999999999999</v>
      </c>
      <c r="E17" s="390">
        <v>0.05</v>
      </c>
      <c r="F17" s="394">
        <v>0.3</v>
      </c>
    </row>
    <row r="18" spans="2:6" hidden="1">
      <c r="B18" s="500">
        <v>41730</v>
      </c>
      <c r="C18" s="391">
        <v>0.9</v>
      </c>
      <c r="D18" s="472">
        <v>0.23799999999999999</v>
      </c>
      <c r="E18" s="391">
        <v>0.1</v>
      </c>
      <c r="F18" s="395">
        <v>0.30249999999999999</v>
      </c>
    </row>
    <row r="19" spans="2:6" hidden="1">
      <c r="B19" s="500">
        <v>41760</v>
      </c>
      <c r="C19" s="391">
        <v>0.9</v>
      </c>
      <c r="D19" s="472">
        <v>0.23799999999999999</v>
      </c>
      <c r="E19" s="391">
        <v>0.15</v>
      </c>
      <c r="F19" s="395">
        <v>0.30249999999999999</v>
      </c>
    </row>
    <row r="20" spans="2:6" hidden="1">
      <c r="B20" s="500">
        <v>41791</v>
      </c>
      <c r="C20" s="392">
        <v>0.9</v>
      </c>
      <c r="D20" s="473">
        <v>0.23799999999999999</v>
      </c>
      <c r="E20" s="392">
        <v>0.3</v>
      </c>
      <c r="F20" s="396">
        <v>0.30249999999999999</v>
      </c>
    </row>
    <row r="21" spans="2:6" hidden="1">
      <c r="B21" s="500">
        <v>41821</v>
      </c>
      <c r="C21" s="392">
        <v>0.9</v>
      </c>
      <c r="D21" s="473">
        <v>0.23799999999999999</v>
      </c>
      <c r="E21" s="392">
        <v>0.3</v>
      </c>
      <c r="F21" s="396">
        <v>0.33</v>
      </c>
    </row>
    <row r="22" spans="2:6" hidden="1">
      <c r="B22" s="500">
        <v>41852</v>
      </c>
      <c r="C22" s="392">
        <v>0.95</v>
      </c>
      <c r="D22" s="473">
        <v>0.24</v>
      </c>
      <c r="E22" s="392">
        <v>0.32</v>
      </c>
      <c r="F22" s="396">
        <v>0.33750000000000002</v>
      </c>
    </row>
    <row r="23" spans="2:6" hidden="1">
      <c r="B23" s="500">
        <v>41883</v>
      </c>
      <c r="C23" s="392">
        <v>0.95</v>
      </c>
      <c r="D23" s="473">
        <v>0.24099999999999999</v>
      </c>
      <c r="E23" s="392">
        <v>0.33</v>
      </c>
      <c r="F23" s="396">
        <v>0.34250000000000003</v>
      </c>
    </row>
    <row r="24" spans="2:6" hidden="1">
      <c r="B24" s="500">
        <v>41913</v>
      </c>
      <c r="C24" s="392">
        <v>0.96</v>
      </c>
      <c r="D24" s="473">
        <v>0.24149999999999999</v>
      </c>
      <c r="E24" s="392">
        <v>0.35</v>
      </c>
      <c r="F24" s="396">
        <v>0.34749999999999998</v>
      </c>
    </row>
    <row r="25" spans="2:6" hidden="1">
      <c r="B25" s="500">
        <v>41944</v>
      </c>
      <c r="C25" s="392">
        <v>0.97</v>
      </c>
      <c r="D25" s="473">
        <v>0.24149999999999999</v>
      </c>
      <c r="E25" s="392">
        <v>0.4</v>
      </c>
      <c r="F25" s="396">
        <v>0.34749999999999998</v>
      </c>
    </row>
    <row r="26" spans="2:6" ht="15.75" hidden="1" thickBot="1">
      <c r="B26" s="501">
        <v>41974</v>
      </c>
      <c r="C26" s="502">
        <v>0.98</v>
      </c>
      <c r="D26" s="503">
        <v>0.2515</v>
      </c>
      <c r="E26" s="502">
        <v>0.41</v>
      </c>
      <c r="F26" s="504">
        <v>0.35</v>
      </c>
    </row>
    <row r="27" spans="2:6" ht="15.75" hidden="1">
      <c r="B27" s="604">
        <v>42005</v>
      </c>
      <c r="C27" s="522">
        <v>0.98</v>
      </c>
      <c r="D27" s="464">
        <v>0.2515</v>
      </c>
      <c r="E27" s="474">
        <v>0.41</v>
      </c>
      <c r="F27" s="464">
        <v>0.35</v>
      </c>
    </row>
    <row r="28" spans="2:6" ht="15.75" hidden="1">
      <c r="B28" s="605">
        <v>42036</v>
      </c>
      <c r="C28" s="523">
        <v>0.98499999999999999</v>
      </c>
      <c r="D28" s="465">
        <v>0.2555</v>
      </c>
      <c r="E28" s="475">
        <v>0.42</v>
      </c>
      <c r="F28" s="465">
        <v>0.375</v>
      </c>
    </row>
    <row r="29" spans="2:6" ht="15.75" hidden="1">
      <c r="B29" s="605">
        <v>42064</v>
      </c>
      <c r="C29" s="524">
        <v>0.98499999999999999</v>
      </c>
      <c r="D29" s="466">
        <v>0.26100000000000001</v>
      </c>
      <c r="E29" s="476">
        <v>0.42499999999999999</v>
      </c>
      <c r="F29" s="466">
        <v>0.41</v>
      </c>
    </row>
    <row r="30" spans="2:6" ht="15.75" hidden="1">
      <c r="B30" s="605">
        <v>42095</v>
      </c>
      <c r="C30" s="525">
        <v>0.98499999999999999</v>
      </c>
      <c r="D30" s="467">
        <v>0.26100000000000001</v>
      </c>
      <c r="E30" s="477">
        <v>0.42749999999999999</v>
      </c>
      <c r="F30" s="467">
        <v>0.42</v>
      </c>
    </row>
    <row r="31" spans="2:6" ht="15.75" hidden="1">
      <c r="B31" s="605">
        <v>42125</v>
      </c>
      <c r="C31" s="526">
        <v>0.98499999999999999</v>
      </c>
      <c r="D31" s="468">
        <v>0.26100000000000001</v>
      </c>
      <c r="E31" s="478">
        <v>0.435</v>
      </c>
      <c r="F31" s="468">
        <v>0.46</v>
      </c>
    </row>
    <row r="32" spans="2:6" ht="15.75" hidden="1">
      <c r="B32" s="605">
        <v>42156</v>
      </c>
      <c r="C32" s="526">
        <v>0.98499999999999999</v>
      </c>
      <c r="D32" s="468">
        <v>0.31219999999999998</v>
      </c>
      <c r="E32" s="478">
        <v>0.44</v>
      </c>
      <c r="F32" s="468">
        <v>0.53</v>
      </c>
    </row>
    <row r="33" spans="2:6" ht="15.75" hidden="1">
      <c r="B33" s="605">
        <v>42186</v>
      </c>
      <c r="C33" s="527">
        <v>0.98499999999999999</v>
      </c>
      <c r="D33" s="497">
        <v>0.31219999999999998</v>
      </c>
      <c r="E33" s="498">
        <v>0.57999999999999996</v>
      </c>
      <c r="F33" s="497">
        <v>0.55000000000000004</v>
      </c>
    </row>
    <row r="34" spans="2:6" ht="15.75" hidden="1">
      <c r="B34" s="605">
        <v>42217</v>
      </c>
      <c r="C34" s="527">
        <v>0.98499999999999999</v>
      </c>
      <c r="D34" s="497">
        <v>0.31719999999999998</v>
      </c>
      <c r="E34" s="498">
        <v>0.65</v>
      </c>
      <c r="F34" s="497">
        <v>0.61499999999999999</v>
      </c>
    </row>
    <row r="35" spans="2:6" ht="15.75" hidden="1">
      <c r="B35" s="605">
        <v>42248</v>
      </c>
      <c r="C35" s="527">
        <v>0.99</v>
      </c>
      <c r="D35" s="497">
        <v>0.35720000000000002</v>
      </c>
      <c r="E35" s="498">
        <v>0.85</v>
      </c>
      <c r="F35" s="497">
        <v>0.66749999999999998</v>
      </c>
    </row>
    <row r="36" spans="2:6" ht="15.75" hidden="1">
      <c r="B36" s="605">
        <v>42278</v>
      </c>
      <c r="C36" s="527">
        <v>0.995</v>
      </c>
      <c r="D36" s="497">
        <v>0.35720000000000002</v>
      </c>
      <c r="E36" s="498">
        <v>0.85</v>
      </c>
      <c r="F36" s="497">
        <v>0.66749999999999998</v>
      </c>
    </row>
    <row r="37" spans="2:6" ht="15.75" hidden="1">
      <c r="B37" s="605">
        <v>42309</v>
      </c>
      <c r="C37" s="601">
        <v>0.998</v>
      </c>
      <c r="D37" s="602">
        <v>0.39700000000000002</v>
      </c>
      <c r="E37" s="603">
        <v>0.95</v>
      </c>
      <c r="F37" s="602">
        <v>0.69750000000000001</v>
      </c>
    </row>
    <row r="38" spans="2:6" ht="16.5" hidden="1" thickBot="1">
      <c r="B38" s="667">
        <v>42339</v>
      </c>
      <c r="C38" s="668">
        <v>0.998</v>
      </c>
      <c r="D38" s="669">
        <v>0.39700000000000002</v>
      </c>
      <c r="E38" s="670">
        <v>0.99</v>
      </c>
      <c r="F38" s="669">
        <v>0.78749999999999998</v>
      </c>
    </row>
    <row r="39" spans="2:6" hidden="1">
      <c r="B39" s="810">
        <v>42370</v>
      </c>
      <c r="C39" s="710">
        <v>0.998</v>
      </c>
      <c r="D39" s="711">
        <v>0.39700000000000002</v>
      </c>
      <c r="E39" s="712">
        <v>0.995</v>
      </c>
      <c r="F39" s="711">
        <v>0.85799999999999998</v>
      </c>
    </row>
    <row r="40" spans="2:6" hidden="1">
      <c r="B40" s="809">
        <v>42401</v>
      </c>
      <c r="C40" s="527">
        <v>0.998</v>
      </c>
      <c r="D40" s="497">
        <v>0.40450000000000003</v>
      </c>
      <c r="E40" s="498">
        <v>0.995</v>
      </c>
      <c r="F40" s="497">
        <v>0.92949999999999999</v>
      </c>
    </row>
    <row r="41" spans="2:6" hidden="1">
      <c r="B41" s="809">
        <v>42430</v>
      </c>
      <c r="C41" s="527">
        <v>0.998</v>
      </c>
      <c r="D41" s="497">
        <v>0.40450000000000003</v>
      </c>
      <c r="E41" s="498">
        <v>0.995</v>
      </c>
      <c r="F41" s="497">
        <v>1</v>
      </c>
    </row>
    <row r="42" spans="2:6" hidden="1">
      <c r="B42" s="809">
        <v>42461</v>
      </c>
      <c r="C42" s="527">
        <v>0.998</v>
      </c>
      <c r="D42" s="497">
        <v>0.40949999999999998</v>
      </c>
      <c r="E42" s="498">
        <v>0.995</v>
      </c>
      <c r="F42" s="497">
        <v>1</v>
      </c>
    </row>
    <row r="43" spans="2:6" hidden="1">
      <c r="B43" s="809">
        <v>42491</v>
      </c>
      <c r="C43" s="527">
        <v>0.998</v>
      </c>
      <c r="D43" s="497">
        <v>0.40949999999999998</v>
      </c>
      <c r="E43" s="498">
        <v>0.995</v>
      </c>
      <c r="F43" s="497">
        <v>1</v>
      </c>
    </row>
    <row r="44" spans="2:6" hidden="1">
      <c r="B44" s="809">
        <v>42522</v>
      </c>
      <c r="C44" s="527">
        <v>0.998</v>
      </c>
      <c r="D44" s="497">
        <v>0.42949999999999999</v>
      </c>
      <c r="E44" s="498">
        <v>0.995</v>
      </c>
      <c r="F44" s="497">
        <v>1</v>
      </c>
    </row>
    <row r="45" spans="2:6" hidden="1">
      <c r="B45" s="809">
        <v>42552</v>
      </c>
      <c r="C45" s="527">
        <v>0.998</v>
      </c>
      <c r="D45" s="497">
        <v>0.44450000000000001</v>
      </c>
      <c r="E45" s="498">
        <v>0.995</v>
      </c>
      <c r="F45" s="497">
        <v>1</v>
      </c>
    </row>
    <row r="46" spans="2:6" hidden="1">
      <c r="B46" s="809">
        <v>42583</v>
      </c>
      <c r="C46" s="527">
        <v>0.998</v>
      </c>
      <c r="D46" s="497">
        <v>0.44950000000000001</v>
      </c>
      <c r="E46" s="498">
        <v>0.995</v>
      </c>
      <c r="F46" s="497">
        <v>1</v>
      </c>
    </row>
    <row r="47" spans="2:6" hidden="1">
      <c r="B47" s="809">
        <v>42614</v>
      </c>
      <c r="C47" s="527">
        <v>0.999</v>
      </c>
      <c r="D47" s="497">
        <v>0.46450000000000002</v>
      </c>
      <c r="E47" s="498">
        <v>0.999</v>
      </c>
      <c r="F47" s="497">
        <v>1</v>
      </c>
    </row>
    <row r="48" spans="2:6" hidden="1">
      <c r="B48" s="809">
        <v>42644</v>
      </c>
      <c r="C48" s="527">
        <v>0.999</v>
      </c>
      <c r="D48" s="527">
        <v>0.4945</v>
      </c>
      <c r="E48" s="527">
        <v>0.999</v>
      </c>
      <c r="F48" s="497">
        <v>1</v>
      </c>
    </row>
    <row r="49" spans="2:6" hidden="1">
      <c r="B49" s="809">
        <v>42675</v>
      </c>
      <c r="C49" s="527">
        <v>0.999</v>
      </c>
      <c r="D49" s="527">
        <v>0.50449999999999995</v>
      </c>
      <c r="E49" s="527">
        <v>0.999</v>
      </c>
      <c r="F49" s="497">
        <v>1</v>
      </c>
    </row>
    <row r="50" spans="2:6" hidden="1">
      <c r="B50" s="1017">
        <v>42705</v>
      </c>
      <c r="C50" s="1153">
        <v>1</v>
      </c>
      <c r="D50" s="818">
        <v>0.50449999999999995</v>
      </c>
      <c r="E50" s="1020">
        <v>0.999</v>
      </c>
      <c r="F50" s="1154">
        <v>1</v>
      </c>
    </row>
    <row r="51" spans="2:6" hidden="1">
      <c r="B51" s="1192">
        <v>42736</v>
      </c>
      <c r="C51" s="1194">
        <v>1</v>
      </c>
      <c r="D51" s="1196">
        <v>0.52949999999999997</v>
      </c>
      <c r="E51" s="1200">
        <v>0.999</v>
      </c>
      <c r="F51" s="1198">
        <v>1</v>
      </c>
    </row>
    <row r="52" spans="2:6" hidden="1">
      <c r="B52" s="1193">
        <v>42767</v>
      </c>
      <c r="C52" s="1195">
        <v>1</v>
      </c>
      <c r="D52" s="1197">
        <v>0.56950000000000001</v>
      </c>
      <c r="E52" s="1201">
        <v>0.999</v>
      </c>
      <c r="F52" s="1199">
        <v>1</v>
      </c>
    </row>
    <row r="53" spans="2:6" hidden="1">
      <c r="B53" s="1193">
        <v>42795</v>
      </c>
      <c r="C53" s="1195">
        <v>1</v>
      </c>
      <c r="D53" s="1197">
        <v>0.59950000000000003</v>
      </c>
      <c r="E53" s="1201">
        <v>0.999</v>
      </c>
      <c r="F53" s="1199">
        <v>1</v>
      </c>
    </row>
    <row r="54" spans="2:6" hidden="1">
      <c r="B54" s="1193">
        <v>42826</v>
      </c>
      <c r="C54" s="1195">
        <v>1</v>
      </c>
      <c r="D54" s="1197">
        <v>0.60450000000000004</v>
      </c>
      <c r="E54" s="1201">
        <v>0.999</v>
      </c>
      <c r="F54" s="1199">
        <v>1</v>
      </c>
    </row>
    <row r="55" spans="2:6" hidden="1">
      <c r="B55" s="1193">
        <v>42856</v>
      </c>
      <c r="C55" s="1195">
        <v>1</v>
      </c>
      <c r="D55" s="1197">
        <v>0.62450000000000006</v>
      </c>
      <c r="E55" s="1201">
        <v>0.999</v>
      </c>
      <c r="F55" s="1199">
        <v>1</v>
      </c>
    </row>
    <row r="56" spans="2:6" hidden="1">
      <c r="B56" s="1193">
        <v>42887</v>
      </c>
      <c r="C56" s="1195">
        <v>1</v>
      </c>
      <c r="D56" s="1197">
        <v>0.62949999999999995</v>
      </c>
      <c r="E56" s="1201">
        <v>0.999</v>
      </c>
      <c r="F56" s="1199">
        <v>1</v>
      </c>
    </row>
    <row r="57" spans="2:6" hidden="1">
      <c r="B57" s="1193">
        <v>42917</v>
      </c>
      <c r="C57" s="1195">
        <v>1</v>
      </c>
      <c r="D57" s="1197">
        <v>0.63449999999999995</v>
      </c>
      <c r="E57" s="1201">
        <v>0.999</v>
      </c>
      <c r="F57" s="1199">
        <v>1</v>
      </c>
    </row>
    <row r="58" spans="2:6" hidden="1">
      <c r="B58" s="1193">
        <v>42948</v>
      </c>
      <c r="C58" s="1195">
        <v>1</v>
      </c>
      <c r="D58" s="1197">
        <v>0.64449999999999996</v>
      </c>
      <c r="E58" s="1201">
        <v>0.999</v>
      </c>
      <c r="F58" s="1199">
        <v>1</v>
      </c>
    </row>
    <row r="59" spans="2:6">
      <c r="B59" s="1193">
        <v>42979</v>
      </c>
      <c r="C59" s="1195">
        <v>1</v>
      </c>
      <c r="D59" s="1197">
        <v>0.67200000000000004</v>
      </c>
      <c r="E59" s="1201">
        <v>0.999</v>
      </c>
      <c r="F59" s="1199">
        <v>1</v>
      </c>
    </row>
    <row r="60" spans="2:6">
      <c r="B60" s="1193">
        <v>43009</v>
      </c>
      <c r="C60" s="1195">
        <v>1</v>
      </c>
      <c r="D60" s="1216">
        <v>0.70199999999999996</v>
      </c>
      <c r="E60" s="1201">
        <v>0.999</v>
      </c>
      <c r="F60" s="1199">
        <v>1</v>
      </c>
    </row>
    <row r="61" spans="2:6">
      <c r="B61" s="1193">
        <v>43040</v>
      </c>
      <c r="C61" s="1195">
        <v>1</v>
      </c>
      <c r="D61" s="1197">
        <v>0.71199999999999997</v>
      </c>
      <c r="E61" s="1201">
        <v>0.999</v>
      </c>
      <c r="F61" s="1199">
        <v>1</v>
      </c>
    </row>
    <row r="62" spans="2:6">
      <c r="B62" s="1193">
        <v>43070</v>
      </c>
      <c r="C62" s="1195">
        <v>1</v>
      </c>
      <c r="D62" s="1197">
        <v>0.71699999999999997</v>
      </c>
      <c r="E62" s="1201">
        <v>0.999</v>
      </c>
      <c r="F62" s="1199">
        <v>1</v>
      </c>
    </row>
    <row r="63" spans="2:6">
      <c r="B63" s="1193">
        <v>43101</v>
      </c>
      <c r="C63" s="1195">
        <v>1</v>
      </c>
      <c r="D63" s="1197">
        <v>0.71699999999999997</v>
      </c>
      <c r="E63" s="1201">
        <v>0.999</v>
      </c>
      <c r="F63" s="1199">
        <v>1</v>
      </c>
    </row>
    <row r="64" spans="2:6">
      <c r="B64" s="1193">
        <v>43132</v>
      </c>
      <c r="C64" s="1195">
        <v>1</v>
      </c>
      <c r="D64" s="1197">
        <v>0.71699999999999997</v>
      </c>
      <c r="E64" s="1201">
        <v>0.999</v>
      </c>
      <c r="F64" s="1199">
        <v>1</v>
      </c>
    </row>
    <row r="65" spans="2:6">
      <c r="B65" s="1193">
        <v>43160</v>
      </c>
      <c r="C65" s="1195">
        <v>1</v>
      </c>
      <c r="D65" s="1197">
        <v>0.71699999999999997</v>
      </c>
      <c r="E65" s="1201">
        <v>0.999</v>
      </c>
      <c r="F65" s="1199">
        <v>1</v>
      </c>
    </row>
    <row r="66" spans="2:6">
      <c r="B66" s="1193">
        <v>43191</v>
      </c>
      <c r="C66" s="1195">
        <v>1</v>
      </c>
      <c r="D66" s="1197">
        <v>0.71699999999999997</v>
      </c>
      <c r="E66" s="1201">
        <v>0.999</v>
      </c>
      <c r="F66" s="1199">
        <v>1</v>
      </c>
    </row>
    <row r="67" spans="2:6">
      <c r="B67" s="1193">
        <v>43221</v>
      </c>
      <c r="C67" s="1195">
        <v>1</v>
      </c>
      <c r="D67" s="1197">
        <v>0.71699999999999997</v>
      </c>
      <c r="E67" s="1201">
        <v>0.999</v>
      </c>
      <c r="F67" s="1199">
        <v>1</v>
      </c>
    </row>
    <row r="68" spans="2:6">
      <c r="B68" s="1193">
        <v>43252</v>
      </c>
      <c r="C68" s="1195">
        <v>1</v>
      </c>
      <c r="D68" s="1197">
        <v>0.71699999999999997</v>
      </c>
      <c r="E68" s="1201">
        <v>0.999</v>
      </c>
      <c r="F68" s="1199">
        <v>1</v>
      </c>
    </row>
    <row r="69" spans="2:6">
      <c r="B69" s="1193">
        <v>43282</v>
      </c>
      <c r="C69" s="1195">
        <v>1</v>
      </c>
      <c r="D69" s="1197">
        <v>0.71699999999999997</v>
      </c>
      <c r="E69" s="1201">
        <v>0.999</v>
      </c>
      <c r="F69" s="1199">
        <v>1</v>
      </c>
    </row>
    <row r="70" spans="2:6">
      <c r="B70" s="1193">
        <v>43313</v>
      </c>
      <c r="C70" s="1195">
        <v>1</v>
      </c>
      <c r="D70" s="1197">
        <v>0.71699999999999997</v>
      </c>
      <c r="E70" s="1201">
        <v>0.999</v>
      </c>
      <c r="F70" s="1199">
        <v>1</v>
      </c>
    </row>
    <row r="71" spans="2:6">
      <c r="B71" s="1193">
        <v>43344</v>
      </c>
      <c r="C71" s="1195">
        <v>1</v>
      </c>
      <c r="D71" s="1197">
        <v>0.71699999999999997</v>
      </c>
      <c r="E71" s="1201">
        <v>0.999</v>
      </c>
      <c r="F71" s="1199">
        <v>1</v>
      </c>
    </row>
    <row r="72" spans="2:6" hidden="1">
      <c r="B72" s="1193">
        <v>43344</v>
      </c>
      <c r="C72" s="1195">
        <v>1</v>
      </c>
      <c r="D72" s="1197">
        <v>0.71699999999999997</v>
      </c>
      <c r="E72" s="1201">
        <v>0.999</v>
      </c>
      <c r="F72" s="1199">
        <v>1</v>
      </c>
    </row>
  </sheetData>
  <mergeCells count="11">
    <mergeCell ref="C7:F7"/>
    <mergeCell ref="C8:F8"/>
    <mergeCell ref="C9:F9"/>
    <mergeCell ref="C10:F10"/>
    <mergeCell ref="C11:F11"/>
    <mergeCell ref="C6:F6"/>
    <mergeCell ref="B1:F1"/>
    <mergeCell ref="C3:F3"/>
    <mergeCell ref="C4:F4"/>
    <mergeCell ref="C5:F5"/>
    <mergeCell ref="C2:E2"/>
  </mergeCells>
  <pageMargins left="0.7" right="0.7" top="0.75" bottom="0.75" header="0.3" footer="0.3"/>
  <pageSetup paperSize="9" scale="89" orientation="landscape" r:id="rId1"/>
  <rowBreaks count="1" manualBreakCount="1">
    <brk id="73"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8">
    <tabColor rgb="FFFFFF00"/>
  </sheetPr>
  <dimension ref="A1:P250"/>
  <sheetViews>
    <sheetView showGridLines="0" view="pageBreakPreview" topLeftCell="A3" zoomScale="70" zoomScaleNormal="90" zoomScaleSheetLayoutView="70" workbookViewId="0">
      <selection activeCell="B62" sqref="B62:N62"/>
    </sheetView>
  </sheetViews>
  <sheetFormatPr baseColWidth="10" defaultColWidth="12" defaultRowHeight="12"/>
  <cols>
    <col min="1" max="1" width="10.33203125" style="622" customWidth="1"/>
    <col min="2" max="2" width="12.33203125" style="622" customWidth="1"/>
    <col min="3" max="3" width="10.33203125" style="622" customWidth="1"/>
    <col min="4" max="4" width="12.6640625" style="622" customWidth="1"/>
    <col min="5" max="5" width="13" style="622" customWidth="1"/>
    <col min="6" max="6" width="10.33203125" style="622" customWidth="1"/>
    <col min="7" max="7" width="10" style="622" customWidth="1"/>
    <col min="8" max="8" width="16" style="622" customWidth="1"/>
    <col min="9" max="9" width="11.33203125" style="621" customWidth="1"/>
    <col min="10" max="10" width="13.5" style="622" customWidth="1"/>
    <col min="11" max="11" width="12.6640625" style="622" customWidth="1"/>
    <col min="12" max="12" width="8.33203125" style="622" customWidth="1"/>
    <col min="13" max="13" width="10.33203125" style="622" customWidth="1"/>
    <col min="14" max="14" width="17.5" style="622" customWidth="1"/>
    <col min="15" max="16" width="12" style="621"/>
    <col min="17" max="16384" width="12" style="622"/>
  </cols>
  <sheetData>
    <row r="1" spans="1:16" ht="27" customHeight="1" thickTop="1" thickBot="1">
      <c r="A1" s="3352" t="s">
        <v>161</v>
      </c>
      <c r="B1" s="3353"/>
      <c r="C1" s="3353"/>
      <c r="D1" s="3353"/>
      <c r="E1" s="3353"/>
      <c r="F1" s="3353"/>
      <c r="G1" s="3353"/>
      <c r="H1" s="3353"/>
      <c r="I1" s="3353"/>
      <c r="J1" s="3353"/>
      <c r="K1" s="3353"/>
      <c r="L1" s="3353"/>
      <c r="M1" s="3353"/>
      <c r="N1" s="3354"/>
    </row>
    <row r="2" spans="1:16" ht="27.75" customHeight="1">
      <c r="A2" s="3316" t="s">
        <v>58</v>
      </c>
      <c r="B2" s="3386"/>
      <c r="C2" s="3386"/>
      <c r="D2" s="3167" t="s">
        <v>447</v>
      </c>
      <c r="E2" s="3168"/>
      <c r="F2" s="3168"/>
      <c r="G2" s="3168"/>
      <c r="H2" s="3168"/>
      <c r="I2" s="3168"/>
      <c r="J2" s="3168"/>
      <c r="K2" s="3168"/>
      <c r="L2" s="3169"/>
      <c r="M2" s="3171" t="s">
        <v>448</v>
      </c>
      <c r="N2" s="3629"/>
    </row>
    <row r="3" spans="1:16" ht="40.5" customHeight="1">
      <c r="A3" s="3345" t="s">
        <v>59</v>
      </c>
      <c r="B3" s="3370"/>
      <c r="C3" s="3370"/>
      <c r="D3" s="3346" t="s">
        <v>449</v>
      </c>
      <c r="E3" s="3346"/>
      <c r="F3" s="3346"/>
      <c r="G3" s="3346"/>
      <c r="H3" s="3346"/>
      <c r="I3" s="3346"/>
      <c r="J3" s="3346"/>
      <c r="K3" s="3346"/>
      <c r="L3" s="3346"/>
      <c r="M3" s="3630"/>
      <c r="N3" s="3381"/>
    </row>
    <row r="4" spans="1:16">
      <c r="A4" s="3345" t="s">
        <v>8</v>
      </c>
      <c r="B4" s="3370"/>
      <c r="C4" s="3384"/>
      <c r="D4" s="3385" t="s">
        <v>46</v>
      </c>
      <c r="E4" s="3385"/>
      <c r="F4" s="3385"/>
      <c r="G4" s="3385"/>
      <c r="H4" s="3385"/>
      <c r="I4" s="3349"/>
      <c r="J4" s="3349"/>
      <c r="K4" s="3349"/>
      <c r="L4" s="3349"/>
      <c r="M4" s="3143"/>
      <c r="N4" s="3380"/>
    </row>
    <row r="5" spans="1:16" ht="25.5" customHeight="1">
      <c r="A5" s="3345" t="s">
        <v>61</v>
      </c>
      <c r="B5" s="3370"/>
      <c r="C5" s="3370"/>
      <c r="D5" s="3349" t="s">
        <v>498</v>
      </c>
      <c r="E5" s="3349"/>
      <c r="F5" s="3349"/>
      <c r="G5" s="3349"/>
      <c r="H5" s="3349"/>
      <c r="I5" s="3349"/>
      <c r="J5" s="3349"/>
      <c r="K5" s="3349"/>
      <c r="L5" s="3349"/>
      <c r="M5" s="3143"/>
      <c r="N5" s="3380"/>
    </row>
    <row r="6" spans="1:16">
      <c r="A6" s="3345" t="s">
        <v>65</v>
      </c>
      <c r="B6" s="3370"/>
      <c r="C6" s="3370"/>
      <c r="D6" s="3349" t="s">
        <v>12</v>
      </c>
      <c r="E6" s="3349"/>
      <c r="F6" s="3349"/>
      <c r="G6" s="3349"/>
      <c r="H6" s="3349"/>
      <c r="I6" s="3349"/>
      <c r="J6" s="3349"/>
      <c r="K6" s="3349"/>
      <c r="L6" s="3349"/>
      <c r="M6" s="3143"/>
      <c r="N6" s="3380"/>
    </row>
    <row r="7" spans="1:16">
      <c r="A7" s="3345" t="s">
        <v>9</v>
      </c>
      <c r="B7" s="3370"/>
      <c r="C7" s="3370"/>
      <c r="D7" s="3382" t="s">
        <v>700</v>
      </c>
      <c r="E7" s="3382"/>
      <c r="F7" s="3382"/>
      <c r="G7" s="3382"/>
      <c r="H7" s="3382"/>
      <c r="I7" s="3382"/>
      <c r="J7" s="3382"/>
      <c r="K7" s="3382"/>
      <c r="L7" s="3382"/>
      <c r="M7" s="3611"/>
      <c r="N7" s="3383"/>
    </row>
    <row r="8" spans="1:16" s="621" customFormat="1">
      <c r="A8" s="3345" t="s">
        <v>158</v>
      </c>
      <c r="B8" s="3370"/>
      <c r="C8" s="3370"/>
      <c r="D8" s="3349" t="s">
        <v>450</v>
      </c>
      <c r="E8" s="3349"/>
      <c r="F8" s="3349"/>
      <c r="G8" s="3349"/>
      <c r="H8" s="3349"/>
      <c r="I8" s="3349"/>
      <c r="J8" s="3349"/>
      <c r="K8" s="3349"/>
      <c r="L8" s="3349"/>
      <c r="M8" s="3143"/>
      <c r="N8" s="3380"/>
    </row>
    <row r="9" spans="1:16" ht="12.75">
      <c r="A9" s="3345" t="s">
        <v>67</v>
      </c>
      <c r="B9" s="3370"/>
      <c r="C9" s="3370"/>
      <c r="D9" s="3349" t="s">
        <v>451</v>
      </c>
      <c r="E9" s="3349"/>
      <c r="F9" s="3349"/>
      <c r="G9" s="3349"/>
      <c r="H9" s="3349"/>
      <c r="I9" s="3349"/>
      <c r="J9" s="3349"/>
      <c r="K9" s="3349"/>
      <c r="L9" s="3349"/>
      <c r="M9" s="3143"/>
      <c r="N9" s="3380"/>
      <c r="P9" s="239" t="s">
        <v>197</v>
      </c>
    </row>
    <row r="10" spans="1:16" s="621" customFormat="1" ht="12.75" thickBot="1">
      <c r="A10" s="135"/>
      <c r="B10" s="8"/>
      <c r="C10" s="8"/>
      <c r="D10" s="8"/>
      <c r="E10" s="8"/>
      <c r="F10" s="8"/>
      <c r="G10" s="8"/>
      <c r="H10" s="8"/>
      <c r="I10" s="8"/>
      <c r="J10" s="8"/>
      <c r="K10" s="8"/>
      <c r="L10" s="8"/>
      <c r="M10" s="8"/>
      <c r="N10" s="136"/>
      <c r="O10" s="8"/>
      <c r="P10" s="8"/>
    </row>
    <row r="11" spans="1:16" s="1" customFormat="1" ht="16.5" customHeight="1" thickBot="1">
      <c r="A11" s="3617" t="s">
        <v>70</v>
      </c>
      <c r="B11" s="3619" t="s">
        <v>200</v>
      </c>
      <c r="C11" s="3620"/>
      <c r="D11" s="3621"/>
      <c r="E11" s="3622" t="s">
        <v>201</v>
      </c>
      <c r="F11" s="3620"/>
      <c r="G11" s="3623"/>
      <c r="H11" s="3619" t="s">
        <v>202</v>
      </c>
      <c r="I11" s="3620"/>
      <c r="J11" s="3621"/>
      <c r="K11" s="3624" t="s">
        <v>366</v>
      </c>
      <c r="L11" s="3625"/>
      <c r="M11" s="3626"/>
      <c r="N11" s="3627" t="s">
        <v>253</v>
      </c>
    </row>
    <row r="12" spans="1:16" s="1" customFormat="1" ht="33.75" thickBot="1">
      <c r="A12" s="3618"/>
      <c r="B12" s="384" t="s">
        <v>254</v>
      </c>
      <c r="C12" s="385" t="s">
        <v>255</v>
      </c>
      <c r="D12" s="386" t="s">
        <v>497</v>
      </c>
      <c r="E12" s="387" t="s">
        <v>254</v>
      </c>
      <c r="F12" s="385" t="s">
        <v>255</v>
      </c>
      <c r="G12" s="388" t="s">
        <v>497</v>
      </c>
      <c r="H12" s="384" t="s">
        <v>254</v>
      </c>
      <c r="I12" s="385" t="s">
        <v>255</v>
      </c>
      <c r="J12" s="386" t="s">
        <v>497</v>
      </c>
      <c r="K12" s="384" t="s">
        <v>254</v>
      </c>
      <c r="L12" s="385" t="s">
        <v>255</v>
      </c>
      <c r="M12" s="386" t="s">
        <v>497</v>
      </c>
      <c r="N12" s="3628"/>
    </row>
    <row r="13" spans="1:16" s="1" customFormat="1" ht="12.75" hidden="1">
      <c r="A13" s="1322">
        <v>41852</v>
      </c>
      <c r="B13" s="533">
        <v>981</v>
      </c>
      <c r="C13" s="534">
        <v>900</v>
      </c>
      <c r="D13" s="535">
        <v>486</v>
      </c>
      <c r="E13" s="533">
        <v>1746</v>
      </c>
      <c r="F13" s="534">
        <v>3018</v>
      </c>
      <c r="G13" s="535">
        <v>138</v>
      </c>
      <c r="H13" s="536">
        <v>436</v>
      </c>
      <c r="I13" s="534">
        <v>362</v>
      </c>
      <c r="J13" s="537">
        <v>48</v>
      </c>
      <c r="K13" s="533">
        <f>B13+E13+H13</f>
        <v>3163</v>
      </c>
      <c r="L13" s="534">
        <f>C13+I13+F13</f>
        <v>4280</v>
      </c>
      <c r="M13" s="535">
        <f>D13+G13+J13</f>
        <v>672</v>
      </c>
      <c r="N13" s="1330">
        <f t="shared" ref="N13:N27" si="0">SUM(B13:J13)</f>
        <v>8115</v>
      </c>
    </row>
    <row r="14" spans="1:16" s="1" customFormat="1" ht="12.75" hidden="1">
      <c r="A14" s="1332">
        <v>41883</v>
      </c>
      <c r="B14" s="2707">
        <v>965</v>
      </c>
      <c r="C14" s="2708">
        <v>934</v>
      </c>
      <c r="D14" s="2709">
        <v>484</v>
      </c>
      <c r="E14" s="2707">
        <v>1723</v>
      </c>
      <c r="F14" s="2708">
        <v>3061</v>
      </c>
      <c r="G14" s="2709">
        <v>139</v>
      </c>
      <c r="H14" s="64">
        <v>434</v>
      </c>
      <c r="I14" s="2708">
        <v>363</v>
      </c>
      <c r="J14" s="97">
        <v>49</v>
      </c>
      <c r="K14" s="2707">
        <f>B14+E14+H14</f>
        <v>3122</v>
      </c>
      <c r="L14" s="2708">
        <f>C14+F14+I14</f>
        <v>4358</v>
      </c>
      <c r="M14" s="2709">
        <f>D14+G14+J14</f>
        <v>672</v>
      </c>
      <c r="N14" s="1331">
        <f t="shared" si="0"/>
        <v>8152</v>
      </c>
    </row>
    <row r="15" spans="1:16" s="4" customFormat="1" ht="12.75" hidden="1">
      <c r="A15" s="1322">
        <v>41913</v>
      </c>
      <c r="B15" s="2711">
        <v>925</v>
      </c>
      <c r="C15" s="2679">
        <v>984</v>
      </c>
      <c r="D15" s="2710">
        <v>484</v>
      </c>
      <c r="E15" s="2711">
        <v>1718</v>
      </c>
      <c r="F15" s="2679">
        <v>3090</v>
      </c>
      <c r="G15" s="2710">
        <v>143</v>
      </c>
      <c r="H15" s="596">
        <v>433</v>
      </c>
      <c r="I15" s="2679">
        <v>371</v>
      </c>
      <c r="J15" s="597">
        <v>49</v>
      </c>
      <c r="K15" s="2711">
        <f>B15+E15+H15</f>
        <v>3076</v>
      </c>
      <c r="L15" s="2679">
        <f>C15+F15+I15</f>
        <v>4445</v>
      </c>
      <c r="M15" s="2710">
        <f>D15+G15+J15</f>
        <v>676</v>
      </c>
      <c r="N15" s="1330">
        <f t="shared" si="0"/>
        <v>8197</v>
      </c>
    </row>
    <row r="16" spans="1:16" s="4" customFormat="1" ht="12.75" hidden="1">
      <c r="A16" s="749">
        <v>41944</v>
      </c>
      <c r="B16" s="2722">
        <v>920</v>
      </c>
      <c r="C16" s="2670">
        <v>1009</v>
      </c>
      <c r="D16" s="2688">
        <v>483</v>
      </c>
      <c r="E16" s="2722">
        <v>1711</v>
      </c>
      <c r="F16" s="2670">
        <v>3120</v>
      </c>
      <c r="G16" s="2688">
        <v>144</v>
      </c>
      <c r="H16" s="307">
        <v>427</v>
      </c>
      <c r="I16" s="2670">
        <v>379</v>
      </c>
      <c r="J16" s="362">
        <v>48</v>
      </c>
      <c r="K16" s="2722">
        <f>B16+E16+H16</f>
        <v>3058</v>
      </c>
      <c r="L16" s="2670">
        <f>C16+F16+I16</f>
        <v>4508</v>
      </c>
      <c r="M16" s="2688">
        <f>D16+G16+J16</f>
        <v>675</v>
      </c>
      <c r="N16" s="1149">
        <f t="shared" si="0"/>
        <v>8241</v>
      </c>
    </row>
    <row r="17" spans="1:15" s="1" customFormat="1" ht="12.75" hidden="1">
      <c r="A17" s="1332">
        <v>41974</v>
      </c>
      <c r="B17" s="2707">
        <v>918</v>
      </c>
      <c r="C17" s="2708">
        <v>1018</v>
      </c>
      <c r="D17" s="2709">
        <v>482</v>
      </c>
      <c r="E17" s="2707">
        <v>1698</v>
      </c>
      <c r="F17" s="2708">
        <v>3142</v>
      </c>
      <c r="G17" s="2709">
        <v>144</v>
      </c>
      <c r="H17" s="64">
        <v>358</v>
      </c>
      <c r="I17" s="2708">
        <v>451</v>
      </c>
      <c r="J17" s="97">
        <v>45</v>
      </c>
      <c r="K17" s="2707">
        <f>B17+E17+H17</f>
        <v>2974</v>
      </c>
      <c r="L17" s="2708">
        <f>C17+F17+I17</f>
        <v>4611</v>
      </c>
      <c r="M17" s="2709">
        <f>D17+G17+J17</f>
        <v>671</v>
      </c>
      <c r="N17" s="1331">
        <f t="shared" si="0"/>
        <v>8256</v>
      </c>
    </row>
    <row r="18" spans="1:15" s="1" customFormat="1" ht="12.75" hidden="1">
      <c r="A18" s="1322">
        <v>42005</v>
      </c>
      <c r="B18" s="2711">
        <v>605</v>
      </c>
      <c r="C18" s="2679">
        <v>1825</v>
      </c>
      <c r="D18" s="2710">
        <v>2</v>
      </c>
      <c r="E18" s="2711">
        <v>1720</v>
      </c>
      <c r="F18" s="2679">
        <v>3250</v>
      </c>
      <c r="G18" s="2710">
        <v>28</v>
      </c>
      <c r="H18" s="596">
        <v>320</v>
      </c>
      <c r="I18" s="2679">
        <v>528</v>
      </c>
      <c r="J18" s="597">
        <v>7</v>
      </c>
      <c r="K18" s="2711">
        <v>2772</v>
      </c>
      <c r="L18" s="2679">
        <v>4851</v>
      </c>
      <c r="M18" s="2710">
        <f t="shared" ref="M18:M27" si="1">D18+G18+J18</f>
        <v>37</v>
      </c>
      <c r="N18" s="1330">
        <f t="shared" si="0"/>
        <v>8285</v>
      </c>
    </row>
    <row r="19" spans="1:15" s="1" customFormat="1" ht="12.75" hidden="1">
      <c r="A19" s="749">
        <v>42036</v>
      </c>
      <c r="B19" s="2722">
        <v>606</v>
      </c>
      <c r="C19" s="2670">
        <v>1831</v>
      </c>
      <c r="D19" s="2688">
        <v>2</v>
      </c>
      <c r="E19" s="2722">
        <v>1719</v>
      </c>
      <c r="F19" s="2670">
        <v>3291</v>
      </c>
      <c r="G19" s="2688">
        <v>27</v>
      </c>
      <c r="H19" s="307">
        <v>321</v>
      </c>
      <c r="I19" s="2670">
        <v>530</v>
      </c>
      <c r="J19" s="362">
        <v>7</v>
      </c>
      <c r="K19" s="2722">
        <f t="shared" ref="K19:K27" si="2">B19+E19+H19</f>
        <v>2646</v>
      </c>
      <c r="L19" s="2670">
        <f t="shared" ref="L19:L27" si="3">C19+F19+I19</f>
        <v>5652</v>
      </c>
      <c r="M19" s="2688">
        <f t="shared" si="1"/>
        <v>36</v>
      </c>
      <c r="N19" s="1149">
        <f t="shared" si="0"/>
        <v>8334</v>
      </c>
    </row>
    <row r="20" spans="1:15" s="1" customFormat="1" ht="12.75" hidden="1">
      <c r="A20" s="749">
        <v>42064</v>
      </c>
      <c r="B20" s="2722">
        <v>604</v>
      </c>
      <c r="C20" s="2670">
        <v>1844</v>
      </c>
      <c r="D20" s="2688">
        <v>2</v>
      </c>
      <c r="E20" s="2722">
        <v>1716</v>
      </c>
      <c r="F20" s="2670">
        <v>3320</v>
      </c>
      <c r="G20" s="2688">
        <v>27</v>
      </c>
      <c r="H20" s="307">
        <v>320</v>
      </c>
      <c r="I20" s="2670">
        <v>530</v>
      </c>
      <c r="J20" s="362">
        <v>7</v>
      </c>
      <c r="K20" s="2722">
        <f t="shared" si="2"/>
        <v>2640</v>
      </c>
      <c r="L20" s="2670">
        <f t="shared" si="3"/>
        <v>5694</v>
      </c>
      <c r="M20" s="2688">
        <f t="shared" si="1"/>
        <v>36</v>
      </c>
      <c r="N20" s="1149">
        <f t="shared" si="0"/>
        <v>8370</v>
      </c>
    </row>
    <row r="21" spans="1:15" s="1" customFormat="1" ht="12.75" hidden="1">
      <c r="A21" s="749">
        <v>42095</v>
      </c>
      <c r="B21" s="2722">
        <v>603</v>
      </c>
      <c r="C21" s="2670">
        <v>1847</v>
      </c>
      <c r="D21" s="2688">
        <v>2</v>
      </c>
      <c r="E21" s="2722">
        <v>1711</v>
      </c>
      <c r="F21" s="2670">
        <v>3319</v>
      </c>
      <c r="G21" s="2688">
        <v>27</v>
      </c>
      <c r="H21" s="307">
        <v>320</v>
      </c>
      <c r="I21" s="2670">
        <v>535</v>
      </c>
      <c r="J21" s="362">
        <v>7</v>
      </c>
      <c r="K21" s="2722">
        <f t="shared" si="2"/>
        <v>2634</v>
      </c>
      <c r="L21" s="2670">
        <f t="shared" si="3"/>
        <v>5701</v>
      </c>
      <c r="M21" s="2688">
        <f t="shared" si="1"/>
        <v>36</v>
      </c>
      <c r="N21" s="1149">
        <f t="shared" si="0"/>
        <v>8371</v>
      </c>
    </row>
    <row r="22" spans="1:15" s="1" customFormat="1" ht="12.75" hidden="1">
      <c r="A22" s="749">
        <v>42125</v>
      </c>
      <c r="B22" s="2722">
        <v>603</v>
      </c>
      <c r="C22" s="2670">
        <v>1869</v>
      </c>
      <c r="D22" s="2688">
        <v>2</v>
      </c>
      <c r="E22" s="2722">
        <v>1710</v>
      </c>
      <c r="F22" s="2670">
        <v>3351</v>
      </c>
      <c r="G22" s="2688">
        <v>27</v>
      </c>
      <c r="H22" s="307">
        <v>319</v>
      </c>
      <c r="I22" s="2670">
        <v>534</v>
      </c>
      <c r="J22" s="362">
        <v>7</v>
      </c>
      <c r="K22" s="2722">
        <f t="shared" si="2"/>
        <v>2632</v>
      </c>
      <c r="L22" s="2670">
        <f t="shared" si="3"/>
        <v>5754</v>
      </c>
      <c r="M22" s="2688">
        <f t="shared" si="1"/>
        <v>36</v>
      </c>
      <c r="N22" s="1149">
        <f t="shared" si="0"/>
        <v>8422</v>
      </c>
    </row>
    <row r="23" spans="1:15" s="1" customFormat="1" ht="12.75" hidden="1">
      <c r="A23" s="749">
        <v>42156</v>
      </c>
      <c r="B23" s="2722">
        <v>602</v>
      </c>
      <c r="C23" s="2670">
        <v>1875</v>
      </c>
      <c r="D23" s="2688">
        <v>2</v>
      </c>
      <c r="E23" s="2722">
        <v>1705</v>
      </c>
      <c r="F23" s="2670">
        <v>3383</v>
      </c>
      <c r="G23" s="2688">
        <v>27</v>
      </c>
      <c r="H23" s="307">
        <v>317</v>
      </c>
      <c r="I23" s="2670">
        <v>535</v>
      </c>
      <c r="J23" s="362">
        <v>7</v>
      </c>
      <c r="K23" s="2722">
        <f t="shared" si="2"/>
        <v>2624</v>
      </c>
      <c r="L23" s="2670">
        <f t="shared" si="3"/>
        <v>5793</v>
      </c>
      <c r="M23" s="2688">
        <f t="shared" si="1"/>
        <v>36</v>
      </c>
      <c r="N23" s="1149">
        <f t="shared" si="0"/>
        <v>8453</v>
      </c>
    </row>
    <row r="24" spans="1:15" s="1" customFormat="1" ht="12.75" hidden="1">
      <c r="A24" s="749">
        <v>42186</v>
      </c>
      <c r="B24" s="2722">
        <v>590</v>
      </c>
      <c r="C24" s="2670">
        <v>1849</v>
      </c>
      <c r="D24" s="2688">
        <v>2</v>
      </c>
      <c r="E24" s="2722">
        <v>1698</v>
      </c>
      <c r="F24" s="2670">
        <v>3395</v>
      </c>
      <c r="G24" s="2688">
        <v>27</v>
      </c>
      <c r="H24" s="307">
        <v>298</v>
      </c>
      <c r="I24" s="2670">
        <v>503</v>
      </c>
      <c r="J24" s="362">
        <v>6</v>
      </c>
      <c r="K24" s="2722">
        <f t="shared" si="2"/>
        <v>2586</v>
      </c>
      <c r="L24" s="2670">
        <f t="shared" si="3"/>
        <v>5747</v>
      </c>
      <c r="M24" s="2688">
        <f t="shared" si="1"/>
        <v>35</v>
      </c>
      <c r="N24" s="1149">
        <f t="shared" si="0"/>
        <v>8368</v>
      </c>
      <c r="O24" s="458"/>
    </row>
    <row r="25" spans="1:15" s="1" customFormat="1" ht="12.75" hidden="1">
      <c r="A25" s="749">
        <v>42217</v>
      </c>
      <c r="B25" s="2722">
        <v>590</v>
      </c>
      <c r="C25" s="2670">
        <v>1863</v>
      </c>
      <c r="D25" s="2688">
        <v>2</v>
      </c>
      <c r="E25" s="2722">
        <v>1697</v>
      </c>
      <c r="F25" s="2670">
        <v>3445</v>
      </c>
      <c r="G25" s="2688">
        <v>27</v>
      </c>
      <c r="H25" s="307">
        <v>298</v>
      </c>
      <c r="I25" s="2670">
        <v>506</v>
      </c>
      <c r="J25" s="362">
        <v>6</v>
      </c>
      <c r="K25" s="2722">
        <f t="shared" si="2"/>
        <v>2585</v>
      </c>
      <c r="L25" s="2670">
        <f t="shared" si="3"/>
        <v>5814</v>
      </c>
      <c r="M25" s="2688">
        <f t="shared" si="1"/>
        <v>35</v>
      </c>
      <c r="N25" s="1149">
        <f t="shared" si="0"/>
        <v>8434</v>
      </c>
    </row>
    <row r="26" spans="1:15" s="1" customFormat="1" ht="12.75" hidden="1">
      <c r="A26" s="1332">
        <v>42248</v>
      </c>
      <c r="B26" s="2707">
        <v>589</v>
      </c>
      <c r="C26" s="2708">
        <v>1878</v>
      </c>
      <c r="D26" s="2709">
        <v>2</v>
      </c>
      <c r="E26" s="2707">
        <v>1694</v>
      </c>
      <c r="F26" s="2708">
        <v>3461</v>
      </c>
      <c r="G26" s="2709">
        <v>27</v>
      </c>
      <c r="H26" s="64">
        <v>299</v>
      </c>
      <c r="I26" s="2708">
        <v>513</v>
      </c>
      <c r="J26" s="97">
        <v>6</v>
      </c>
      <c r="K26" s="2707">
        <f t="shared" si="2"/>
        <v>2582</v>
      </c>
      <c r="L26" s="2708">
        <f t="shared" si="3"/>
        <v>5852</v>
      </c>
      <c r="M26" s="2709">
        <f t="shared" si="1"/>
        <v>35</v>
      </c>
      <c r="N26" s="1331">
        <f t="shared" si="0"/>
        <v>8469</v>
      </c>
    </row>
    <row r="27" spans="1:15" s="1" customFormat="1" ht="12.75" hidden="1">
      <c r="A27" s="1322">
        <v>42278</v>
      </c>
      <c r="B27" s="737">
        <v>589</v>
      </c>
      <c r="C27" s="738">
        <v>1887</v>
      </c>
      <c r="D27" s="739">
        <v>2</v>
      </c>
      <c r="E27" s="737">
        <v>1694</v>
      </c>
      <c r="F27" s="738">
        <v>3487</v>
      </c>
      <c r="G27" s="739">
        <v>27</v>
      </c>
      <c r="H27" s="717">
        <v>299</v>
      </c>
      <c r="I27" s="738">
        <v>520</v>
      </c>
      <c r="J27" s="740">
        <v>6</v>
      </c>
      <c r="K27" s="2711">
        <f t="shared" si="2"/>
        <v>2582</v>
      </c>
      <c r="L27" s="2679">
        <f t="shared" si="3"/>
        <v>5894</v>
      </c>
      <c r="M27" s="2710">
        <f t="shared" si="1"/>
        <v>35</v>
      </c>
      <c r="N27" s="1330">
        <f t="shared" si="0"/>
        <v>8511</v>
      </c>
    </row>
    <row r="28" spans="1:15" s="1" customFormat="1" ht="12.75" hidden="1">
      <c r="A28" s="1332">
        <v>42309</v>
      </c>
      <c r="B28" s="2707">
        <v>590</v>
      </c>
      <c r="C28" s="2708">
        <v>1900</v>
      </c>
      <c r="D28" s="2709">
        <v>2</v>
      </c>
      <c r="E28" s="2707">
        <v>1691</v>
      </c>
      <c r="F28" s="2708">
        <v>3500</v>
      </c>
      <c r="G28" s="2709">
        <v>27</v>
      </c>
      <c r="H28" s="64">
        <v>298</v>
      </c>
      <c r="I28" s="2708">
        <v>527</v>
      </c>
      <c r="J28" s="97">
        <v>6</v>
      </c>
      <c r="K28" s="2707">
        <f t="shared" ref="K28:M34" si="4">B28+E28+H28</f>
        <v>2579</v>
      </c>
      <c r="L28" s="2708">
        <f t="shared" si="4"/>
        <v>5927</v>
      </c>
      <c r="M28" s="2709">
        <f t="shared" si="4"/>
        <v>35</v>
      </c>
      <c r="N28" s="1331">
        <f>SUM(B28:J28)</f>
        <v>8541</v>
      </c>
    </row>
    <row r="29" spans="1:15" s="1" customFormat="1" ht="12.75" hidden="1">
      <c r="A29" s="1322">
        <v>42339</v>
      </c>
      <c r="B29" s="2711">
        <v>585</v>
      </c>
      <c r="C29" s="2679">
        <v>1908</v>
      </c>
      <c r="D29" s="2710">
        <v>2</v>
      </c>
      <c r="E29" s="2711">
        <v>1688</v>
      </c>
      <c r="F29" s="2679">
        <v>3538</v>
      </c>
      <c r="G29" s="2710">
        <v>27</v>
      </c>
      <c r="H29" s="596">
        <v>296</v>
      </c>
      <c r="I29" s="2679">
        <v>535</v>
      </c>
      <c r="J29" s="597">
        <v>6</v>
      </c>
      <c r="K29" s="2711">
        <f t="shared" si="4"/>
        <v>2569</v>
      </c>
      <c r="L29" s="2679">
        <f t="shared" si="4"/>
        <v>5981</v>
      </c>
      <c r="M29" s="2710">
        <f t="shared" si="4"/>
        <v>35</v>
      </c>
      <c r="N29" s="1330">
        <f>SUM(B29:J29)</f>
        <v>8585</v>
      </c>
    </row>
    <row r="30" spans="1:15" s="1" customFormat="1" ht="12.75" hidden="1">
      <c r="A30" s="749">
        <v>42370</v>
      </c>
      <c r="B30" s="2722">
        <v>574</v>
      </c>
      <c r="C30" s="2670">
        <v>1886</v>
      </c>
      <c r="D30" s="2688">
        <v>2</v>
      </c>
      <c r="E30" s="2722">
        <v>1683</v>
      </c>
      <c r="F30" s="2670">
        <v>3556</v>
      </c>
      <c r="G30" s="2688">
        <v>27</v>
      </c>
      <c r="H30" s="307">
        <v>296</v>
      </c>
      <c r="I30" s="2670">
        <v>535</v>
      </c>
      <c r="J30" s="362">
        <v>6</v>
      </c>
      <c r="K30" s="2722">
        <f t="shared" si="4"/>
        <v>2553</v>
      </c>
      <c r="L30" s="2670">
        <f t="shared" si="4"/>
        <v>5977</v>
      </c>
      <c r="M30" s="2688">
        <f t="shared" si="4"/>
        <v>35</v>
      </c>
      <c r="N30" s="1149">
        <f>SUM(B30:J30)</f>
        <v>8565</v>
      </c>
    </row>
    <row r="31" spans="1:15" s="1" customFormat="1" ht="12.75" hidden="1">
      <c r="A31" s="749">
        <v>42401</v>
      </c>
      <c r="B31" s="2722">
        <v>571</v>
      </c>
      <c r="C31" s="2670">
        <v>1896</v>
      </c>
      <c r="D31" s="2688">
        <v>2</v>
      </c>
      <c r="E31" s="2722">
        <v>1672</v>
      </c>
      <c r="F31" s="2670">
        <v>3583</v>
      </c>
      <c r="G31" s="2688">
        <v>27</v>
      </c>
      <c r="H31" s="307">
        <v>297</v>
      </c>
      <c r="I31" s="2670">
        <v>537</v>
      </c>
      <c r="J31" s="362">
        <v>7</v>
      </c>
      <c r="K31" s="2722">
        <f t="shared" si="4"/>
        <v>2540</v>
      </c>
      <c r="L31" s="2670">
        <f t="shared" si="4"/>
        <v>6016</v>
      </c>
      <c r="M31" s="2688">
        <f t="shared" si="4"/>
        <v>36</v>
      </c>
      <c r="N31" s="1149">
        <f>SUM(B31:J31)</f>
        <v>8592</v>
      </c>
    </row>
    <row r="32" spans="1:15" s="1" customFormat="1" ht="12.75" hidden="1">
      <c r="A32" s="749">
        <v>42430</v>
      </c>
      <c r="B32" s="2722">
        <v>559</v>
      </c>
      <c r="C32" s="2670">
        <v>1911</v>
      </c>
      <c r="D32" s="2688">
        <v>2</v>
      </c>
      <c r="E32" s="2722">
        <v>1637</v>
      </c>
      <c r="F32" s="2670">
        <v>3567</v>
      </c>
      <c r="G32" s="2688">
        <v>26</v>
      </c>
      <c r="H32" s="307">
        <v>291</v>
      </c>
      <c r="I32" s="2670">
        <v>537</v>
      </c>
      <c r="J32" s="362">
        <v>7</v>
      </c>
      <c r="K32" s="2722">
        <f t="shared" si="4"/>
        <v>2487</v>
      </c>
      <c r="L32" s="2670">
        <f t="shared" si="4"/>
        <v>6015</v>
      </c>
      <c r="M32" s="2688">
        <f t="shared" si="4"/>
        <v>35</v>
      </c>
      <c r="N32" s="1149">
        <v>8537</v>
      </c>
    </row>
    <row r="33" spans="1:14" s="1" customFormat="1" ht="12.75" hidden="1">
      <c r="A33" s="749">
        <v>42461</v>
      </c>
      <c r="B33" s="2722">
        <v>558</v>
      </c>
      <c r="C33" s="2670">
        <v>1931</v>
      </c>
      <c r="D33" s="2688">
        <v>2</v>
      </c>
      <c r="E33" s="2722">
        <v>1633</v>
      </c>
      <c r="F33" s="2670">
        <v>3599</v>
      </c>
      <c r="G33" s="2688">
        <v>26</v>
      </c>
      <c r="H33" s="307">
        <v>293</v>
      </c>
      <c r="I33" s="2670">
        <v>541</v>
      </c>
      <c r="J33" s="362">
        <v>7</v>
      </c>
      <c r="K33" s="2722">
        <f t="shared" si="4"/>
        <v>2484</v>
      </c>
      <c r="L33" s="2670">
        <f t="shared" si="4"/>
        <v>6071</v>
      </c>
      <c r="M33" s="2688">
        <f t="shared" si="4"/>
        <v>35</v>
      </c>
      <c r="N33" s="1149">
        <v>8590</v>
      </c>
    </row>
    <row r="34" spans="1:14" s="1" customFormat="1" ht="12.75" hidden="1">
      <c r="A34" s="1332">
        <v>42491</v>
      </c>
      <c r="B34" s="2707">
        <v>557</v>
      </c>
      <c r="C34" s="2708">
        <v>1944</v>
      </c>
      <c r="D34" s="2709">
        <v>2</v>
      </c>
      <c r="E34" s="2707">
        <v>1631</v>
      </c>
      <c r="F34" s="2708">
        <v>3621</v>
      </c>
      <c r="G34" s="2709">
        <v>26</v>
      </c>
      <c r="H34" s="64">
        <v>299</v>
      </c>
      <c r="I34" s="2708">
        <v>548</v>
      </c>
      <c r="J34" s="97">
        <v>7</v>
      </c>
      <c r="K34" s="2722">
        <f t="shared" si="4"/>
        <v>2487</v>
      </c>
      <c r="L34" s="2670">
        <f t="shared" si="4"/>
        <v>6113</v>
      </c>
      <c r="M34" s="2688">
        <f t="shared" si="4"/>
        <v>35</v>
      </c>
      <c r="N34" s="1331">
        <v>8635</v>
      </c>
    </row>
    <row r="35" spans="1:14" s="1" customFormat="1" ht="12.75" hidden="1">
      <c r="A35" s="749">
        <v>42522</v>
      </c>
      <c r="B35" s="2722">
        <v>551</v>
      </c>
      <c r="C35" s="2670">
        <v>1952</v>
      </c>
      <c r="D35" s="2688">
        <v>2</v>
      </c>
      <c r="E35" s="2722">
        <v>1624</v>
      </c>
      <c r="F35" s="2670">
        <v>3659</v>
      </c>
      <c r="G35" s="2688">
        <v>26</v>
      </c>
      <c r="H35" s="307">
        <v>300</v>
      </c>
      <c r="I35" s="2670">
        <v>556</v>
      </c>
      <c r="J35" s="362">
        <v>7</v>
      </c>
      <c r="K35" s="2722">
        <f t="shared" ref="K35:M38" si="5">B35+E35+H35</f>
        <v>2475</v>
      </c>
      <c r="L35" s="2670">
        <f t="shared" si="5"/>
        <v>6167</v>
      </c>
      <c r="M35" s="2688">
        <f t="shared" si="5"/>
        <v>35</v>
      </c>
      <c r="N35" s="1149">
        <v>8677</v>
      </c>
    </row>
    <row r="36" spans="1:14" s="1" customFormat="1" ht="12.75" hidden="1">
      <c r="A36" s="749">
        <v>42552</v>
      </c>
      <c r="B36" s="2722">
        <v>527</v>
      </c>
      <c r="C36" s="2670">
        <v>1977</v>
      </c>
      <c r="D36" s="2688">
        <v>2</v>
      </c>
      <c r="E36" s="2722">
        <v>1604</v>
      </c>
      <c r="F36" s="2670">
        <v>3667</v>
      </c>
      <c r="G36" s="2688">
        <v>25</v>
      </c>
      <c r="H36" s="307">
        <v>301</v>
      </c>
      <c r="I36" s="2670">
        <v>567</v>
      </c>
      <c r="J36" s="362">
        <v>7</v>
      </c>
      <c r="K36" s="2722">
        <f t="shared" si="5"/>
        <v>2432</v>
      </c>
      <c r="L36" s="2670">
        <f t="shared" si="5"/>
        <v>6211</v>
      </c>
      <c r="M36" s="2688">
        <f t="shared" si="5"/>
        <v>34</v>
      </c>
      <c r="N36" s="1149">
        <v>8678</v>
      </c>
    </row>
    <row r="37" spans="1:14" s="1" customFormat="1" ht="12.75" hidden="1">
      <c r="A37" s="749">
        <v>42583</v>
      </c>
      <c r="B37" s="2722">
        <v>539</v>
      </c>
      <c r="C37" s="2670">
        <v>1994</v>
      </c>
      <c r="D37" s="2688">
        <v>2</v>
      </c>
      <c r="E37" s="2722">
        <v>1616</v>
      </c>
      <c r="F37" s="2670">
        <v>3692</v>
      </c>
      <c r="G37" s="2688">
        <v>26</v>
      </c>
      <c r="H37" s="307">
        <v>300</v>
      </c>
      <c r="I37" s="2670">
        <v>564</v>
      </c>
      <c r="J37" s="362">
        <v>7</v>
      </c>
      <c r="K37" s="2722">
        <f t="shared" si="5"/>
        <v>2455</v>
      </c>
      <c r="L37" s="2670">
        <f t="shared" si="5"/>
        <v>6250</v>
      </c>
      <c r="M37" s="2688">
        <f t="shared" si="5"/>
        <v>35</v>
      </c>
      <c r="N37" s="1149">
        <v>8679</v>
      </c>
    </row>
    <row r="38" spans="1:14" s="1" customFormat="1" ht="12.75" hidden="1">
      <c r="A38" s="749">
        <v>42614</v>
      </c>
      <c r="B38" s="2722">
        <v>537</v>
      </c>
      <c r="C38" s="2670">
        <v>2001</v>
      </c>
      <c r="D38" s="2688">
        <v>2</v>
      </c>
      <c r="E38" s="2722">
        <v>1613</v>
      </c>
      <c r="F38" s="2670">
        <v>3716</v>
      </c>
      <c r="G38" s="2688">
        <v>25</v>
      </c>
      <c r="H38" s="307">
        <v>301</v>
      </c>
      <c r="I38" s="2670">
        <v>567</v>
      </c>
      <c r="J38" s="362">
        <v>7</v>
      </c>
      <c r="K38" s="2722">
        <f t="shared" si="5"/>
        <v>2451</v>
      </c>
      <c r="L38" s="2670">
        <f t="shared" si="5"/>
        <v>6284</v>
      </c>
      <c r="M38" s="2688">
        <f t="shared" si="5"/>
        <v>34</v>
      </c>
      <c r="N38" s="1149">
        <v>8680</v>
      </c>
    </row>
    <row r="39" spans="1:14" s="1" customFormat="1" ht="12.75" hidden="1">
      <c r="A39" s="749">
        <v>42644</v>
      </c>
      <c r="B39" s="2722">
        <v>530</v>
      </c>
      <c r="C39" s="2670">
        <v>2019</v>
      </c>
      <c r="D39" s="2688">
        <v>2</v>
      </c>
      <c r="E39" s="2722">
        <v>1592</v>
      </c>
      <c r="F39" s="2670">
        <v>3764</v>
      </c>
      <c r="G39" s="2688">
        <v>25</v>
      </c>
      <c r="H39" s="307">
        <v>297</v>
      </c>
      <c r="I39" s="2670">
        <v>584</v>
      </c>
      <c r="J39" s="362">
        <v>7</v>
      </c>
      <c r="K39" s="2722">
        <f t="shared" ref="K39:M55" si="6">B39+E39+H39</f>
        <v>2419</v>
      </c>
      <c r="L39" s="2670">
        <f t="shared" si="6"/>
        <v>6367</v>
      </c>
      <c r="M39" s="2688">
        <f t="shared" si="6"/>
        <v>34</v>
      </c>
      <c r="N39" s="1149">
        <f t="shared" ref="N39:N44" si="7">SUM(B39:J39)</f>
        <v>8820</v>
      </c>
    </row>
    <row r="40" spans="1:14" s="1" customFormat="1" ht="12.75" hidden="1">
      <c r="A40" s="749">
        <v>42675</v>
      </c>
      <c r="B40" s="2722">
        <v>523</v>
      </c>
      <c r="C40" s="2670">
        <v>2025</v>
      </c>
      <c r="D40" s="2688">
        <v>2</v>
      </c>
      <c r="E40" s="2722">
        <v>1583</v>
      </c>
      <c r="F40" s="2670">
        <v>3764</v>
      </c>
      <c r="G40" s="2688">
        <v>25</v>
      </c>
      <c r="H40" s="307">
        <v>294</v>
      </c>
      <c r="I40" s="2670">
        <v>581</v>
      </c>
      <c r="J40" s="362">
        <v>7</v>
      </c>
      <c r="K40" s="2722">
        <f t="shared" si="6"/>
        <v>2400</v>
      </c>
      <c r="L40" s="2670">
        <f t="shared" si="6"/>
        <v>6370</v>
      </c>
      <c r="M40" s="2688">
        <f t="shared" si="6"/>
        <v>34</v>
      </c>
      <c r="N40" s="1149">
        <f t="shared" si="7"/>
        <v>8804</v>
      </c>
    </row>
    <row r="41" spans="1:14" s="1" customFormat="1" ht="12.75" hidden="1">
      <c r="A41" s="1332">
        <v>42705</v>
      </c>
      <c r="B41" s="2707">
        <v>169</v>
      </c>
      <c r="C41" s="2708">
        <v>2365</v>
      </c>
      <c r="D41" s="2709">
        <v>22</v>
      </c>
      <c r="E41" s="2707">
        <v>597</v>
      </c>
      <c r="F41" s="2708">
        <v>4780</v>
      </c>
      <c r="G41" s="2709">
        <v>11</v>
      </c>
      <c r="H41" s="64">
        <v>173</v>
      </c>
      <c r="I41" s="2708">
        <v>710</v>
      </c>
      <c r="J41" s="97">
        <v>7</v>
      </c>
      <c r="K41" s="2707">
        <f t="shared" ref="K41:M57" si="8">B41+E41+H41</f>
        <v>939</v>
      </c>
      <c r="L41" s="2708">
        <f t="shared" si="6"/>
        <v>7855</v>
      </c>
      <c r="M41" s="2709">
        <f t="shared" si="6"/>
        <v>40</v>
      </c>
      <c r="N41" s="1331">
        <f t="shared" si="7"/>
        <v>8834</v>
      </c>
    </row>
    <row r="42" spans="1:14" s="1" customFormat="1" ht="12.75" hidden="1">
      <c r="A42" s="1250">
        <v>42736</v>
      </c>
      <c r="B42" s="725">
        <v>161</v>
      </c>
      <c r="C42" s="1010">
        <v>2391</v>
      </c>
      <c r="D42" s="1251">
        <v>22</v>
      </c>
      <c r="E42" s="725">
        <v>563</v>
      </c>
      <c r="F42" s="1010">
        <v>4849</v>
      </c>
      <c r="G42" s="1251">
        <v>11</v>
      </c>
      <c r="H42" s="725">
        <v>173</v>
      </c>
      <c r="I42" s="1010">
        <v>717</v>
      </c>
      <c r="J42" s="1251">
        <v>7</v>
      </c>
      <c r="K42" s="725">
        <f t="shared" si="8"/>
        <v>897</v>
      </c>
      <c r="L42" s="1125">
        <f t="shared" si="6"/>
        <v>7957</v>
      </c>
      <c r="M42" s="1251">
        <f t="shared" si="6"/>
        <v>40</v>
      </c>
      <c r="N42" s="1148">
        <f t="shared" si="7"/>
        <v>8894</v>
      </c>
    </row>
    <row r="43" spans="1:14" s="1" customFormat="1" ht="12.75" hidden="1">
      <c r="A43" s="749">
        <v>42767</v>
      </c>
      <c r="B43" s="2722">
        <v>161</v>
      </c>
      <c r="C43" s="2670">
        <v>2397</v>
      </c>
      <c r="D43" s="2688">
        <v>23</v>
      </c>
      <c r="E43" s="2722">
        <v>555</v>
      </c>
      <c r="F43" s="2670">
        <v>4892</v>
      </c>
      <c r="G43" s="2688">
        <v>11</v>
      </c>
      <c r="H43" s="2722">
        <v>172</v>
      </c>
      <c r="I43" s="2670">
        <v>727</v>
      </c>
      <c r="J43" s="2688">
        <v>6</v>
      </c>
      <c r="K43" s="2722">
        <f t="shared" si="8"/>
        <v>888</v>
      </c>
      <c r="L43" s="2648">
        <f t="shared" si="6"/>
        <v>8016</v>
      </c>
      <c r="M43" s="2688">
        <f t="shared" si="6"/>
        <v>40</v>
      </c>
      <c r="N43" s="1149">
        <f t="shared" si="7"/>
        <v>8944</v>
      </c>
    </row>
    <row r="44" spans="1:14" s="1" customFormat="1" ht="12.75" hidden="1">
      <c r="A44" s="749">
        <v>42795</v>
      </c>
      <c r="B44" s="1793">
        <v>158</v>
      </c>
      <c r="C44" s="1801">
        <v>2409</v>
      </c>
      <c r="D44" s="1798">
        <v>23</v>
      </c>
      <c r="E44" s="1793">
        <v>545</v>
      </c>
      <c r="F44" s="1801">
        <v>4908</v>
      </c>
      <c r="G44" s="1798">
        <v>11</v>
      </c>
      <c r="H44" s="1793">
        <v>167</v>
      </c>
      <c r="I44" s="1801">
        <v>731</v>
      </c>
      <c r="J44" s="1798">
        <v>6</v>
      </c>
      <c r="K44" s="2707">
        <f t="shared" si="8"/>
        <v>870</v>
      </c>
      <c r="L44" s="2649">
        <f t="shared" si="6"/>
        <v>8048</v>
      </c>
      <c r="M44" s="2709">
        <f t="shared" si="6"/>
        <v>40</v>
      </c>
      <c r="N44" s="1331">
        <f t="shared" si="7"/>
        <v>8958</v>
      </c>
    </row>
    <row r="45" spans="1:14" s="1" customFormat="1" ht="12.75" hidden="1">
      <c r="A45" s="749">
        <v>42826</v>
      </c>
      <c r="B45" s="725">
        <v>154</v>
      </c>
      <c r="C45" s="1010">
        <v>2430</v>
      </c>
      <c r="D45" s="1251">
        <v>23</v>
      </c>
      <c r="E45" s="725">
        <v>547</v>
      </c>
      <c r="F45" s="1010">
        <v>4951</v>
      </c>
      <c r="G45" s="1251">
        <v>11</v>
      </c>
      <c r="H45" s="725">
        <v>165</v>
      </c>
      <c r="I45" s="1010">
        <v>736</v>
      </c>
      <c r="J45" s="1251">
        <v>6</v>
      </c>
      <c r="K45" s="2711">
        <f t="shared" si="8"/>
        <v>866</v>
      </c>
      <c r="L45" s="2686">
        <f t="shared" si="6"/>
        <v>8117</v>
      </c>
      <c r="M45" s="2710">
        <f t="shared" si="6"/>
        <v>40</v>
      </c>
      <c r="N45" s="1330">
        <f>SUM(B45:J45)</f>
        <v>9023</v>
      </c>
    </row>
    <row r="46" spans="1:14" s="1" customFormat="1" ht="12.75" hidden="1">
      <c r="A46" s="1332">
        <v>42856</v>
      </c>
      <c r="B46" s="1793">
        <v>147</v>
      </c>
      <c r="C46" s="1801">
        <v>2451</v>
      </c>
      <c r="D46" s="1798">
        <v>23</v>
      </c>
      <c r="E46" s="1793">
        <v>526</v>
      </c>
      <c r="F46" s="1801">
        <v>4963</v>
      </c>
      <c r="G46" s="1798">
        <v>11</v>
      </c>
      <c r="H46" s="1793">
        <v>162</v>
      </c>
      <c r="I46" s="1801">
        <v>744</v>
      </c>
      <c r="J46" s="1798">
        <v>6</v>
      </c>
      <c r="K46" s="2707">
        <f t="shared" si="8"/>
        <v>835</v>
      </c>
      <c r="L46" s="2649">
        <f t="shared" si="6"/>
        <v>8158</v>
      </c>
      <c r="M46" s="2709">
        <f t="shared" si="6"/>
        <v>40</v>
      </c>
      <c r="N46" s="1331">
        <f>SUM(B46:J46)</f>
        <v>9033</v>
      </c>
    </row>
    <row r="47" spans="1:14" s="1" customFormat="1" ht="12.75" hidden="1">
      <c r="A47" s="1322">
        <v>42887</v>
      </c>
      <c r="B47" s="2711">
        <v>142</v>
      </c>
      <c r="C47" s="2679">
        <v>2471</v>
      </c>
      <c r="D47" s="2710">
        <v>23</v>
      </c>
      <c r="E47" s="2711">
        <v>514</v>
      </c>
      <c r="F47" s="2679">
        <v>5033</v>
      </c>
      <c r="G47" s="2710">
        <v>11</v>
      </c>
      <c r="H47" s="2711">
        <v>158</v>
      </c>
      <c r="I47" s="2679">
        <v>752</v>
      </c>
      <c r="J47" s="2710">
        <v>6</v>
      </c>
      <c r="K47" s="2711">
        <f t="shared" si="8"/>
        <v>814</v>
      </c>
      <c r="L47" s="2686">
        <f t="shared" si="6"/>
        <v>8256</v>
      </c>
      <c r="M47" s="2710">
        <f t="shared" si="6"/>
        <v>40</v>
      </c>
      <c r="N47" s="1330">
        <f t="shared" ref="N47:N57" si="9">SUM(B47:J47)</f>
        <v>9110</v>
      </c>
    </row>
    <row r="48" spans="1:14" s="1" customFormat="1" ht="12.75" hidden="1">
      <c r="A48" s="749">
        <v>42917</v>
      </c>
      <c r="B48" s="2722">
        <v>136</v>
      </c>
      <c r="C48" s="2670">
        <v>2476</v>
      </c>
      <c r="D48" s="2688">
        <v>23</v>
      </c>
      <c r="E48" s="2722">
        <v>484</v>
      </c>
      <c r="F48" s="2670">
        <v>5044</v>
      </c>
      <c r="G48" s="2688">
        <v>11</v>
      </c>
      <c r="H48" s="2722">
        <v>145</v>
      </c>
      <c r="I48" s="2670">
        <v>769</v>
      </c>
      <c r="J48" s="2688">
        <v>6</v>
      </c>
      <c r="K48" s="2722">
        <f t="shared" si="8"/>
        <v>765</v>
      </c>
      <c r="L48" s="2648">
        <f t="shared" si="6"/>
        <v>8289</v>
      </c>
      <c r="M48" s="2688">
        <f t="shared" si="6"/>
        <v>40</v>
      </c>
      <c r="N48" s="1149">
        <f t="shared" si="9"/>
        <v>9094</v>
      </c>
    </row>
    <row r="49" spans="1:16" s="1" customFormat="1" ht="12.75" hidden="1">
      <c r="A49" s="1332">
        <v>42948</v>
      </c>
      <c r="B49" s="2722">
        <v>122</v>
      </c>
      <c r="C49" s="2670">
        <v>2500</v>
      </c>
      <c r="D49" s="2688">
        <v>23</v>
      </c>
      <c r="E49" s="2722">
        <v>462</v>
      </c>
      <c r="F49" s="2670">
        <v>5096</v>
      </c>
      <c r="G49" s="2688">
        <v>11</v>
      </c>
      <c r="H49" s="2722">
        <v>144</v>
      </c>
      <c r="I49" s="2670">
        <v>772</v>
      </c>
      <c r="J49" s="2688">
        <v>6</v>
      </c>
      <c r="K49" s="2722">
        <f t="shared" si="8"/>
        <v>728</v>
      </c>
      <c r="L49" s="2648">
        <f t="shared" si="6"/>
        <v>8368</v>
      </c>
      <c r="M49" s="2688">
        <f t="shared" si="6"/>
        <v>40</v>
      </c>
      <c r="N49" s="1149">
        <f t="shared" si="9"/>
        <v>9136</v>
      </c>
    </row>
    <row r="50" spans="1:16" s="1" customFormat="1" ht="12.75" hidden="1">
      <c r="A50" s="1322">
        <v>42979</v>
      </c>
      <c r="B50" s="2722">
        <v>111</v>
      </c>
      <c r="C50" s="2670">
        <v>2514</v>
      </c>
      <c r="D50" s="2688">
        <v>22</v>
      </c>
      <c r="E50" s="2722">
        <v>453</v>
      </c>
      <c r="F50" s="2670">
        <v>5120</v>
      </c>
      <c r="G50" s="2688">
        <v>11</v>
      </c>
      <c r="H50" s="2722">
        <v>141</v>
      </c>
      <c r="I50" s="2670">
        <v>782</v>
      </c>
      <c r="J50" s="2688">
        <v>5</v>
      </c>
      <c r="K50" s="2722">
        <f t="shared" si="8"/>
        <v>705</v>
      </c>
      <c r="L50" s="2648">
        <f t="shared" si="6"/>
        <v>8416</v>
      </c>
      <c r="M50" s="2688">
        <f t="shared" si="6"/>
        <v>38</v>
      </c>
      <c r="N50" s="1149">
        <f t="shared" si="9"/>
        <v>9159</v>
      </c>
    </row>
    <row r="51" spans="1:16" s="1" customFormat="1" ht="12.75">
      <c r="A51" s="749">
        <v>43009</v>
      </c>
      <c r="B51" s="2722">
        <v>105</v>
      </c>
      <c r="C51" s="2670">
        <v>2533</v>
      </c>
      <c r="D51" s="2688">
        <v>22</v>
      </c>
      <c r="E51" s="2722">
        <v>440</v>
      </c>
      <c r="F51" s="2670">
        <v>5136</v>
      </c>
      <c r="G51" s="2688">
        <v>11</v>
      </c>
      <c r="H51" s="2722">
        <v>138</v>
      </c>
      <c r="I51" s="2670">
        <v>783</v>
      </c>
      <c r="J51" s="2688">
        <v>5</v>
      </c>
      <c r="K51" s="2722">
        <f t="shared" si="8"/>
        <v>683</v>
      </c>
      <c r="L51" s="2648">
        <f t="shared" si="6"/>
        <v>8452</v>
      </c>
      <c r="M51" s="2688">
        <f t="shared" si="6"/>
        <v>38</v>
      </c>
      <c r="N51" s="1149">
        <f t="shared" si="9"/>
        <v>9173</v>
      </c>
    </row>
    <row r="52" spans="1:16" s="1" customFormat="1" ht="12.75">
      <c r="A52" s="749">
        <v>43040</v>
      </c>
      <c r="B52" s="2722">
        <v>104</v>
      </c>
      <c r="C52" s="2670">
        <v>2542</v>
      </c>
      <c r="D52" s="2688">
        <v>22</v>
      </c>
      <c r="E52" s="2722">
        <v>431</v>
      </c>
      <c r="F52" s="2670">
        <v>5171</v>
      </c>
      <c r="G52" s="2688">
        <v>11</v>
      </c>
      <c r="H52" s="2722">
        <v>136</v>
      </c>
      <c r="I52" s="2670">
        <v>786</v>
      </c>
      <c r="J52" s="2688">
        <v>5</v>
      </c>
      <c r="K52" s="2722">
        <f t="shared" si="8"/>
        <v>671</v>
      </c>
      <c r="L52" s="2648">
        <f t="shared" si="6"/>
        <v>8499</v>
      </c>
      <c r="M52" s="2688">
        <f t="shared" si="6"/>
        <v>38</v>
      </c>
      <c r="N52" s="1149">
        <f t="shared" si="9"/>
        <v>9208</v>
      </c>
    </row>
    <row r="53" spans="1:16" s="1257" customFormat="1" ht="12.75">
      <c r="A53" s="749">
        <v>43070</v>
      </c>
      <c r="B53" s="2722">
        <v>101</v>
      </c>
      <c r="C53" s="2670">
        <v>2552</v>
      </c>
      <c r="D53" s="2688">
        <v>22</v>
      </c>
      <c r="E53" s="2722">
        <v>418</v>
      </c>
      <c r="F53" s="2670">
        <v>5190</v>
      </c>
      <c r="G53" s="2688">
        <v>11</v>
      </c>
      <c r="H53" s="2722">
        <v>134</v>
      </c>
      <c r="I53" s="2670">
        <v>789</v>
      </c>
      <c r="J53" s="2688">
        <v>6</v>
      </c>
      <c r="K53" s="2722">
        <f t="shared" si="8"/>
        <v>653</v>
      </c>
      <c r="L53" s="2648">
        <f t="shared" si="6"/>
        <v>8531</v>
      </c>
      <c r="M53" s="2688">
        <f t="shared" si="6"/>
        <v>39</v>
      </c>
      <c r="N53" s="1149">
        <f t="shared" si="9"/>
        <v>9223</v>
      </c>
    </row>
    <row r="54" spans="1:16" s="1257" customFormat="1" ht="12.75">
      <c r="A54" s="749">
        <v>43101</v>
      </c>
      <c r="B54" s="2707">
        <v>101</v>
      </c>
      <c r="C54" s="2708">
        <v>2565</v>
      </c>
      <c r="D54" s="2709">
        <v>21</v>
      </c>
      <c r="E54" s="2707">
        <v>413</v>
      </c>
      <c r="F54" s="2708">
        <v>5226</v>
      </c>
      <c r="G54" s="2709">
        <v>11</v>
      </c>
      <c r="H54" s="2707">
        <v>134</v>
      </c>
      <c r="I54" s="2708">
        <v>792</v>
      </c>
      <c r="J54" s="2709">
        <v>6</v>
      </c>
      <c r="K54" s="2722">
        <f t="shared" si="8"/>
        <v>648</v>
      </c>
      <c r="L54" s="2648">
        <f t="shared" si="6"/>
        <v>8583</v>
      </c>
      <c r="M54" s="2688">
        <f t="shared" si="6"/>
        <v>38</v>
      </c>
      <c r="N54" s="1149">
        <f t="shared" si="9"/>
        <v>9269</v>
      </c>
    </row>
    <row r="55" spans="1:16" s="1" customFormat="1" ht="12.75">
      <c r="A55" s="749">
        <v>43132</v>
      </c>
      <c r="B55" s="2707">
        <v>100</v>
      </c>
      <c r="C55" s="2708">
        <v>2573</v>
      </c>
      <c r="D55" s="2709">
        <v>21</v>
      </c>
      <c r="E55" s="2707">
        <v>403</v>
      </c>
      <c r="F55" s="2708">
        <v>5271</v>
      </c>
      <c r="G55" s="2709">
        <v>11</v>
      </c>
      <c r="H55" s="2707">
        <v>133</v>
      </c>
      <c r="I55" s="2708">
        <v>796</v>
      </c>
      <c r="J55" s="2709">
        <v>6</v>
      </c>
      <c r="K55" s="2722">
        <f t="shared" si="8"/>
        <v>636</v>
      </c>
      <c r="L55" s="2648">
        <f t="shared" si="6"/>
        <v>8640</v>
      </c>
      <c r="M55" s="2688">
        <f t="shared" si="6"/>
        <v>38</v>
      </c>
      <c r="N55" s="1149">
        <f t="shared" si="9"/>
        <v>9314</v>
      </c>
    </row>
    <row r="56" spans="1:16" s="1257" customFormat="1" ht="12.75">
      <c r="A56" s="749">
        <v>43160</v>
      </c>
      <c r="B56" s="2707">
        <v>93</v>
      </c>
      <c r="C56" s="2708">
        <v>2586</v>
      </c>
      <c r="D56" s="2709">
        <v>20</v>
      </c>
      <c r="E56" s="2707">
        <v>391</v>
      </c>
      <c r="F56" s="2708">
        <v>5310</v>
      </c>
      <c r="G56" s="2709">
        <v>11</v>
      </c>
      <c r="H56" s="2707">
        <v>130</v>
      </c>
      <c r="I56" s="2708">
        <v>802</v>
      </c>
      <c r="J56" s="2709">
        <v>7</v>
      </c>
      <c r="K56" s="2722">
        <f t="shared" si="8"/>
        <v>614</v>
      </c>
      <c r="L56" s="2648">
        <f t="shared" si="8"/>
        <v>8698</v>
      </c>
      <c r="M56" s="2688">
        <f t="shared" si="8"/>
        <v>38</v>
      </c>
      <c r="N56" s="1149">
        <f t="shared" si="9"/>
        <v>9350</v>
      </c>
    </row>
    <row r="57" spans="1:16" s="1" customFormat="1" ht="12.75">
      <c r="A57" s="749">
        <v>43191</v>
      </c>
      <c r="B57" s="2707">
        <v>92</v>
      </c>
      <c r="C57" s="2708">
        <v>2599</v>
      </c>
      <c r="D57" s="2709">
        <v>20</v>
      </c>
      <c r="E57" s="2707">
        <v>387</v>
      </c>
      <c r="F57" s="2708">
        <v>5345</v>
      </c>
      <c r="G57" s="2709">
        <v>11</v>
      </c>
      <c r="H57" s="2707">
        <v>130</v>
      </c>
      <c r="I57" s="2708">
        <v>803</v>
      </c>
      <c r="J57" s="2709">
        <v>7</v>
      </c>
      <c r="K57" s="2722">
        <f t="shared" si="8"/>
        <v>609</v>
      </c>
      <c r="L57" s="2648">
        <f t="shared" si="8"/>
        <v>8747</v>
      </c>
      <c r="M57" s="2688">
        <f t="shared" si="8"/>
        <v>38</v>
      </c>
      <c r="N57" s="1149">
        <f t="shared" si="9"/>
        <v>9394</v>
      </c>
    </row>
    <row r="58" spans="1:16" s="2638" customFormat="1" ht="12.75">
      <c r="A58" s="1332">
        <v>43221</v>
      </c>
      <c r="B58" s="2707">
        <v>90</v>
      </c>
      <c r="C58" s="2708">
        <v>2615</v>
      </c>
      <c r="D58" s="2709">
        <v>20</v>
      </c>
      <c r="E58" s="2707">
        <v>373</v>
      </c>
      <c r="F58" s="2708">
        <v>5385</v>
      </c>
      <c r="G58" s="2709">
        <v>11</v>
      </c>
      <c r="H58" s="2707">
        <v>130</v>
      </c>
      <c r="I58" s="2708">
        <v>808</v>
      </c>
      <c r="J58" s="2709">
        <v>7</v>
      </c>
      <c r="K58" s="2722">
        <v>593</v>
      </c>
      <c r="L58" s="2648">
        <v>8808</v>
      </c>
      <c r="M58" s="2688">
        <v>38</v>
      </c>
      <c r="N58" s="1149">
        <v>9439</v>
      </c>
    </row>
    <row r="59" spans="1:16" s="2638" customFormat="1" ht="12.75">
      <c r="A59" s="749">
        <v>43252</v>
      </c>
      <c r="B59" s="2707">
        <v>88</v>
      </c>
      <c r="C59" s="2708">
        <v>2641</v>
      </c>
      <c r="D59" s="2709">
        <v>20</v>
      </c>
      <c r="E59" s="2707">
        <v>357</v>
      </c>
      <c r="F59" s="2708">
        <v>5432</v>
      </c>
      <c r="G59" s="2709">
        <v>11</v>
      </c>
      <c r="H59" s="2707">
        <v>130</v>
      </c>
      <c r="I59" s="2708">
        <v>816</v>
      </c>
      <c r="J59" s="2709">
        <v>7</v>
      </c>
      <c r="K59" s="2722">
        <v>575</v>
      </c>
      <c r="L59" s="2648">
        <v>8889</v>
      </c>
      <c r="M59" s="2688">
        <v>38</v>
      </c>
      <c r="N59" s="1149">
        <v>9502</v>
      </c>
    </row>
    <row r="60" spans="1:16" s="2638" customFormat="1" ht="12.75">
      <c r="A60" s="1332">
        <v>43282</v>
      </c>
      <c r="B60" s="2707">
        <v>85</v>
      </c>
      <c r="C60" s="2708">
        <v>2665</v>
      </c>
      <c r="D60" s="2709">
        <v>20</v>
      </c>
      <c r="E60" s="2707">
        <v>348</v>
      </c>
      <c r="F60" s="2708">
        <v>5459</v>
      </c>
      <c r="G60" s="2709">
        <v>11</v>
      </c>
      <c r="H60" s="2707">
        <v>128</v>
      </c>
      <c r="I60" s="2708">
        <v>829</v>
      </c>
      <c r="J60" s="2709">
        <v>7</v>
      </c>
      <c r="K60" s="2707">
        <v>561</v>
      </c>
      <c r="L60" s="2649">
        <v>8953</v>
      </c>
      <c r="M60" s="2709">
        <v>38</v>
      </c>
      <c r="N60" s="1331">
        <v>9552</v>
      </c>
    </row>
    <row r="61" spans="1:16" s="2638" customFormat="1" ht="12.75">
      <c r="A61" s="749">
        <v>43313</v>
      </c>
      <c r="B61" s="2707">
        <v>81</v>
      </c>
      <c r="C61" s="2708">
        <v>2690</v>
      </c>
      <c r="D61" s="2709">
        <v>19</v>
      </c>
      <c r="E61" s="2707">
        <v>339</v>
      </c>
      <c r="F61" s="2708">
        <v>5487</v>
      </c>
      <c r="G61" s="2709">
        <v>11</v>
      </c>
      <c r="H61" s="2707">
        <v>127</v>
      </c>
      <c r="I61" s="2708">
        <v>835</v>
      </c>
      <c r="J61" s="2709">
        <v>7</v>
      </c>
      <c r="K61" s="2707">
        <v>547</v>
      </c>
      <c r="L61" s="2649">
        <v>9012</v>
      </c>
      <c r="M61" s="2709">
        <v>37</v>
      </c>
      <c r="N61" s="1331">
        <v>9596</v>
      </c>
    </row>
    <row r="62" spans="1:16" s="1820" customFormat="1" ht="13.5" thickBot="1">
      <c r="A62" s="1323">
        <v>43344</v>
      </c>
      <c r="B62" s="2801">
        <v>81</v>
      </c>
      <c r="C62" s="2799">
        <v>2759</v>
      </c>
      <c r="D62" s="2800">
        <v>19</v>
      </c>
      <c r="E62" s="2801">
        <v>327</v>
      </c>
      <c r="F62" s="2799">
        <v>5617</v>
      </c>
      <c r="G62" s="2800">
        <v>11</v>
      </c>
      <c r="H62" s="2801">
        <v>122</v>
      </c>
      <c r="I62" s="2799">
        <v>883</v>
      </c>
      <c r="J62" s="2800">
        <v>7</v>
      </c>
      <c r="K62" s="2801">
        <v>530</v>
      </c>
      <c r="L62" s="2802">
        <v>9259</v>
      </c>
      <c r="M62" s="2800">
        <v>37</v>
      </c>
      <c r="N62" s="2636">
        <v>9826</v>
      </c>
    </row>
    <row r="63" spans="1:16" s="1" customFormat="1" ht="12.75">
      <c r="A63" s="133"/>
      <c r="B63" s="4"/>
      <c r="C63" s="4"/>
      <c r="D63" s="4"/>
      <c r="E63" s="4"/>
      <c r="F63" s="4"/>
      <c r="G63" s="4"/>
      <c r="H63" s="4"/>
      <c r="I63" s="4"/>
      <c r="J63" s="4"/>
      <c r="K63" s="4"/>
      <c r="L63" s="4"/>
      <c r="M63" s="4"/>
      <c r="N63" s="134"/>
    </row>
    <row r="64" spans="1:16" s="621" customFormat="1">
      <c r="A64" s="135"/>
      <c r="B64" s="640"/>
      <c r="C64" s="640"/>
      <c r="D64" s="640"/>
      <c r="E64" s="640"/>
      <c r="F64" s="640"/>
      <c r="G64" s="640"/>
      <c r="H64" s="640"/>
      <c r="I64" s="640"/>
      <c r="J64" s="640"/>
      <c r="K64" s="640"/>
      <c r="L64" s="640"/>
      <c r="M64" s="640"/>
      <c r="N64" s="820"/>
      <c r="O64" s="8"/>
      <c r="P64" s="8"/>
    </row>
    <row r="65" spans="1:16" s="621" customFormat="1">
      <c r="A65" s="135"/>
      <c r="B65" s="8"/>
      <c r="C65" s="8"/>
      <c r="D65" s="8"/>
      <c r="E65" s="8"/>
      <c r="F65" s="8"/>
      <c r="G65" s="8"/>
      <c r="H65" s="8"/>
      <c r="I65" s="8"/>
      <c r="J65" s="8"/>
      <c r="K65" s="8"/>
      <c r="L65" s="8"/>
      <c r="M65" s="8"/>
      <c r="N65" s="136"/>
      <c r="O65" s="8"/>
      <c r="P65" s="8"/>
    </row>
    <row r="66" spans="1:16" s="621" customFormat="1">
      <c r="A66" s="135"/>
      <c r="B66" s="8"/>
      <c r="C66" s="8"/>
      <c r="D66" s="8"/>
      <c r="E66" s="8"/>
      <c r="F66" s="8"/>
      <c r="G66" s="8"/>
      <c r="H66" s="8"/>
      <c r="I66" s="8"/>
      <c r="J66" s="8"/>
      <c r="K66" s="8"/>
      <c r="L66" s="8"/>
      <c r="M66" s="8"/>
      <c r="N66" s="136"/>
      <c r="O66" s="8"/>
      <c r="P66" s="8"/>
    </row>
    <row r="67" spans="1:16" s="621" customFormat="1">
      <c r="A67" s="135"/>
      <c r="B67" s="8"/>
      <c r="C67" s="8"/>
      <c r="D67" s="8"/>
      <c r="E67" s="8"/>
      <c r="F67" s="8"/>
      <c r="G67" s="8"/>
      <c r="H67" s="8"/>
      <c r="I67" s="8"/>
      <c r="J67" s="8"/>
      <c r="K67" s="8"/>
      <c r="L67" s="8"/>
      <c r="M67" s="8"/>
      <c r="N67" s="136"/>
      <c r="O67" s="8"/>
      <c r="P67" s="8"/>
    </row>
    <row r="68" spans="1:16" s="621" customFormat="1">
      <c r="A68" s="135"/>
      <c r="B68" s="8"/>
      <c r="C68" s="8"/>
      <c r="D68" s="8"/>
      <c r="E68" s="8"/>
      <c r="F68" s="8"/>
      <c r="G68" s="8"/>
      <c r="H68" s="8"/>
      <c r="I68" s="8"/>
      <c r="J68" s="8"/>
      <c r="K68" s="8"/>
      <c r="L68" s="8"/>
      <c r="M68" s="8"/>
      <c r="N68" s="136"/>
      <c r="O68" s="8"/>
      <c r="P68" s="8"/>
    </row>
    <row r="69" spans="1:16" s="621" customFormat="1">
      <c r="A69" s="135"/>
      <c r="B69" s="8"/>
      <c r="C69" s="8"/>
      <c r="D69" s="8"/>
      <c r="E69" s="8"/>
      <c r="F69" s="8"/>
      <c r="G69" s="8"/>
      <c r="H69" s="8"/>
      <c r="I69" s="8"/>
      <c r="J69" s="8"/>
      <c r="K69" s="8"/>
      <c r="L69" s="8"/>
      <c r="M69" s="8"/>
      <c r="N69" s="136"/>
      <c r="O69" s="8"/>
      <c r="P69" s="8"/>
    </row>
    <row r="70" spans="1:16" s="621" customFormat="1">
      <c r="A70" s="135"/>
      <c r="B70" s="8"/>
      <c r="C70" s="8"/>
      <c r="D70" s="8"/>
      <c r="E70" s="8"/>
      <c r="F70" s="8"/>
      <c r="G70" s="8"/>
      <c r="H70" s="8"/>
      <c r="I70" s="8"/>
      <c r="J70" s="8"/>
      <c r="K70" s="8"/>
      <c r="L70" s="8"/>
      <c r="M70" s="8"/>
      <c r="N70" s="136"/>
      <c r="O70" s="8"/>
      <c r="P70" s="8"/>
    </row>
    <row r="71" spans="1:16" s="621" customFormat="1">
      <c r="A71" s="135"/>
      <c r="B71" s="8"/>
      <c r="C71" s="8"/>
      <c r="D71" s="8"/>
      <c r="E71" s="8"/>
      <c r="F71" s="8"/>
      <c r="G71" s="8"/>
      <c r="H71" s="8"/>
      <c r="I71" s="8"/>
      <c r="J71" s="8"/>
      <c r="K71" s="8"/>
      <c r="L71" s="8"/>
      <c r="M71" s="8"/>
      <c r="N71" s="136"/>
      <c r="O71" s="8"/>
      <c r="P71" s="8"/>
    </row>
    <row r="72" spans="1:16" s="621" customFormat="1">
      <c r="A72" s="135"/>
      <c r="B72" s="8"/>
      <c r="C72" s="8"/>
      <c r="D72" s="8"/>
      <c r="E72" s="8"/>
      <c r="F72" s="8"/>
      <c r="G72" s="8"/>
      <c r="H72" s="8"/>
      <c r="I72" s="8"/>
      <c r="J72" s="8"/>
      <c r="K72" s="8"/>
      <c r="L72" s="8"/>
      <c r="M72" s="8"/>
      <c r="N72" s="136"/>
      <c r="O72" s="8"/>
      <c r="P72" s="8"/>
    </row>
    <row r="73" spans="1:16" s="621" customFormat="1">
      <c r="A73" s="135"/>
      <c r="B73" s="8"/>
      <c r="C73" s="8"/>
      <c r="D73" s="8"/>
      <c r="E73" s="8"/>
      <c r="F73" s="8"/>
      <c r="G73" s="8"/>
      <c r="H73" s="8"/>
      <c r="I73" s="8"/>
      <c r="J73" s="8"/>
      <c r="K73" s="8"/>
      <c r="L73" s="8"/>
      <c r="M73" s="8"/>
      <c r="N73" s="136"/>
      <c r="O73" s="8"/>
      <c r="P73" s="8"/>
    </row>
    <row r="74" spans="1:16" s="621" customFormat="1">
      <c r="A74" s="135"/>
      <c r="B74" s="8"/>
      <c r="C74" s="8"/>
      <c r="D74" s="8"/>
      <c r="E74" s="8"/>
      <c r="F74" s="8"/>
      <c r="G74" s="8"/>
      <c r="H74" s="8"/>
      <c r="I74" s="8"/>
      <c r="J74" s="8"/>
      <c r="K74" s="8"/>
      <c r="L74" s="8"/>
      <c r="M74" s="8"/>
      <c r="N74" s="136"/>
      <c r="O74" s="8"/>
      <c r="P74" s="8"/>
    </row>
    <row r="75" spans="1:16" s="621" customFormat="1">
      <c r="A75" s="135"/>
      <c r="B75" s="8"/>
      <c r="C75" s="8"/>
      <c r="D75" s="8"/>
      <c r="E75" s="8"/>
      <c r="F75" s="8"/>
      <c r="G75" s="8"/>
      <c r="H75" s="8"/>
      <c r="I75" s="8"/>
      <c r="J75" s="8"/>
      <c r="K75" s="8"/>
      <c r="L75" s="8"/>
      <c r="M75" s="8"/>
      <c r="N75" s="136"/>
      <c r="O75" s="8"/>
      <c r="P75" s="8"/>
    </row>
    <row r="76" spans="1:16" s="621" customFormat="1">
      <c r="A76" s="135"/>
      <c r="B76" s="8"/>
      <c r="C76" s="8"/>
      <c r="D76" s="8"/>
      <c r="E76" s="8"/>
      <c r="F76" s="8"/>
      <c r="G76" s="8"/>
      <c r="H76" s="8"/>
      <c r="I76" s="8"/>
      <c r="J76" s="8"/>
      <c r="K76" s="8"/>
      <c r="L76" s="8"/>
      <c r="M76" s="8"/>
      <c r="N76" s="136"/>
      <c r="O76" s="8"/>
      <c r="P76" s="8"/>
    </row>
    <row r="77" spans="1:16" s="621" customFormat="1">
      <c r="A77" s="135"/>
      <c r="B77" s="8"/>
      <c r="C77" s="8"/>
      <c r="D77" s="8"/>
      <c r="E77" s="8"/>
      <c r="F77" s="8"/>
      <c r="G77" s="8"/>
      <c r="H77" s="8"/>
      <c r="I77" s="8"/>
      <c r="J77" s="8"/>
      <c r="K77" s="8"/>
      <c r="L77" s="8"/>
      <c r="M77" s="8"/>
      <c r="N77" s="136"/>
      <c r="O77" s="8"/>
      <c r="P77" s="8"/>
    </row>
    <row r="78" spans="1:16" s="621" customFormat="1">
      <c r="A78" s="135"/>
      <c r="B78" s="8"/>
      <c r="C78" s="8"/>
      <c r="D78" s="8"/>
      <c r="E78" s="8"/>
      <c r="F78" s="8"/>
      <c r="G78" s="8"/>
      <c r="H78" s="8"/>
      <c r="I78" s="8"/>
      <c r="J78" s="8"/>
      <c r="K78" s="8"/>
      <c r="L78" s="8"/>
      <c r="M78" s="8"/>
      <c r="N78" s="136"/>
      <c r="O78" s="8"/>
      <c r="P78" s="8"/>
    </row>
    <row r="79" spans="1:16" s="621" customFormat="1">
      <c r="A79" s="135"/>
      <c r="B79" s="8"/>
      <c r="C79" s="8"/>
      <c r="D79" s="8"/>
      <c r="E79" s="8"/>
      <c r="F79" s="8"/>
      <c r="G79" s="8"/>
      <c r="H79" s="8"/>
      <c r="I79" s="8"/>
      <c r="J79" s="8"/>
      <c r="K79" s="8"/>
      <c r="L79" s="8"/>
      <c r="M79" s="8"/>
      <c r="N79" s="136"/>
      <c r="O79" s="8"/>
      <c r="P79" s="8"/>
    </row>
    <row r="80" spans="1:16" s="621" customFormat="1">
      <c r="A80" s="135"/>
      <c r="B80" s="8"/>
      <c r="C80" s="8"/>
      <c r="D80" s="8"/>
      <c r="E80" s="8"/>
      <c r="F80" s="8"/>
      <c r="G80" s="8"/>
      <c r="H80" s="8"/>
      <c r="I80" s="8"/>
      <c r="J80" s="8"/>
      <c r="K80" s="8"/>
      <c r="L80" s="8"/>
      <c r="M80" s="8"/>
      <c r="N80" s="136"/>
      <c r="O80" s="8"/>
      <c r="P80" s="8"/>
    </row>
    <row r="81" spans="1:16" s="621" customFormat="1">
      <c r="A81" s="135"/>
      <c r="B81" s="8"/>
      <c r="C81" s="8"/>
      <c r="D81" s="8"/>
      <c r="E81" s="8"/>
      <c r="F81" s="8"/>
      <c r="G81" s="8"/>
      <c r="H81" s="8"/>
      <c r="I81" s="8"/>
      <c r="J81" s="8"/>
      <c r="K81" s="8"/>
      <c r="L81" s="8"/>
      <c r="M81" s="8"/>
      <c r="N81" s="136"/>
      <c r="O81" s="8"/>
      <c r="P81" s="8"/>
    </row>
    <row r="82" spans="1:16" s="621" customFormat="1">
      <c r="A82" s="135"/>
      <c r="B82" s="8"/>
      <c r="C82" s="8"/>
      <c r="D82" s="8"/>
      <c r="E82" s="8"/>
      <c r="F82" s="8"/>
      <c r="G82" s="8"/>
      <c r="H82" s="8"/>
      <c r="I82" s="8"/>
      <c r="J82" s="8"/>
      <c r="K82" s="8"/>
      <c r="L82" s="8"/>
      <c r="M82" s="8"/>
      <c r="N82" s="136"/>
      <c r="O82" s="8"/>
      <c r="P82" s="8"/>
    </row>
    <row r="83" spans="1:16" s="621" customFormat="1">
      <c r="A83" s="135"/>
      <c r="B83" s="8"/>
      <c r="C83" s="8"/>
      <c r="D83" s="8"/>
      <c r="E83" s="8"/>
      <c r="F83" s="8"/>
      <c r="G83" s="8"/>
      <c r="H83" s="8"/>
      <c r="I83" s="8"/>
      <c r="J83" s="8"/>
      <c r="K83" s="8"/>
      <c r="L83" s="8"/>
      <c r="M83" s="8"/>
      <c r="N83" s="136"/>
      <c r="O83" s="8"/>
      <c r="P83" s="8"/>
    </row>
    <row r="84" spans="1:16" ht="12.75" thickBot="1">
      <c r="A84" s="165"/>
      <c r="B84" s="154"/>
      <c r="C84" s="154"/>
      <c r="D84" s="154"/>
      <c r="E84" s="154"/>
      <c r="F84" s="154"/>
      <c r="G84" s="154"/>
      <c r="H84" s="154"/>
      <c r="I84" s="154"/>
      <c r="J84" s="154"/>
      <c r="K84" s="154"/>
      <c r="L84" s="154"/>
      <c r="M84" s="154"/>
      <c r="N84" s="155"/>
      <c r="O84" s="8"/>
      <c r="P84" s="8"/>
    </row>
    <row r="85" spans="1:16" ht="36" customHeight="1" thickBot="1">
      <c r="A85" s="3612" t="s">
        <v>71</v>
      </c>
      <c r="B85" s="3613"/>
      <c r="C85" s="3613"/>
      <c r="D85" s="3614"/>
      <c r="E85" s="3614"/>
      <c r="F85" s="3614"/>
      <c r="G85" s="3614"/>
      <c r="H85" s="3614"/>
      <c r="I85" s="3614"/>
      <c r="J85" s="3614"/>
      <c r="K85" s="3614"/>
      <c r="L85" s="3614"/>
      <c r="M85" s="3615"/>
      <c r="N85" s="3616"/>
    </row>
    <row r="86" spans="1:16" ht="12.75" thickTop="1">
      <c r="A86" s="623"/>
      <c r="B86" s="621"/>
      <c r="C86" s="621"/>
      <c r="D86" s="621"/>
      <c r="E86" s="621"/>
      <c r="F86" s="621"/>
      <c r="G86" s="621"/>
      <c r="H86" s="621"/>
      <c r="J86" s="621"/>
      <c r="K86" s="621"/>
      <c r="L86" s="621"/>
      <c r="M86" s="621"/>
      <c r="N86" s="621"/>
    </row>
    <row r="87" spans="1:16">
      <c r="A87" s="623"/>
      <c r="B87" s="621"/>
      <c r="C87" s="621"/>
      <c r="D87" s="621"/>
      <c r="E87" s="621"/>
      <c r="F87" s="621"/>
      <c r="G87" s="621"/>
      <c r="H87" s="621"/>
      <c r="J87" s="621"/>
      <c r="K87" s="621"/>
      <c r="L87" s="621"/>
      <c r="M87" s="621"/>
      <c r="N87" s="621"/>
    </row>
    <row r="88" spans="1:16">
      <c r="A88" s="623"/>
      <c r="B88" s="621"/>
      <c r="C88" s="621"/>
      <c r="D88" s="621"/>
      <c r="E88" s="621"/>
      <c r="F88" s="621"/>
      <c r="G88" s="621"/>
      <c r="H88" s="621"/>
      <c r="J88" s="621"/>
      <c r="K88" s="621"/>
      <c r="L88" s="621"/>
      <c r="M88" s="621"/>
      <c r="N88" s="621"/>
    </row>
    <row r="89" spans="1:16">
      <c r="A89" s="623"/>
      <c r="B89" s="621"/>
      <c r="C89" s="621"/>
      <c r="D89" s="621"/>
      <c r="E89" s="621"/>
      <c r="F89" s="621"/>
      <c r="G89" s="621"/>
      <c r="H89" s="621"/>
      <c r="J89" s="621"/>
      <c r="K89" s="621"/>
      <c r="L89" s="621"/>
      <c r="M89" s="621"/>
      <c r="N89" s="621"/>
    </row>
    <row r="90" spans="1:16">
      <c r="A90" s="623"/>
      <c r="B90"/>
      <c r="C90"/>
      <c r="D90"/>
      <c r="E90"/>
      <c r="F90"/>
      <c r="G90"/>
      <c r="H90"/>
      <c r="I90"/>
      <c r="J90"/>
      <c r="K90"/>
      <c r="L90"/>
      <c r="M90"/>
      <c r="N90"/>
      <c r="O90"/>
    </row>
    <row r="91" spans="1:16">
      <c r="A91" s="623"/>
      <c r="B91"/>
      <c r="C91"/>
      <c r="D91"/>
      <c r="E91"/>
      <c r="F91"/>
      <c r="G91"/>
      <c r="H91"/>
      <c r="I91"/>
      <c r="J91"/>
      <c r="K91"/>
      <c r="L91"/>
      <c r="M91"/>
      <c r="N91"/>
      <c r="O91"/>
    </row>
    <row r="92" spans="1:16">
      <c r="A92" s="621"/>
      <c r="B92" s="621"/>
      <c r="C92" s="621"/>
      <c r="D92" s="621"/>
      <c r="E92" s="621"/>
      <c r="F92" s="621"/>
      <c r="G92" s="621"/>
      <c r="H92" s="621"/>
      <c r="J92" s="621"/>
      <c r="K92" s="621"/>
      <c r="L92" s="621"/>
      <c r="M92" s="621"/>
      <c r="N92" s="621"/>
    </row>
    <row r="93" spans="1:16">
      <c r="A93" s="621"/>
      <c r="B93" s="621"/>
      <c r="C93" s="621"/>
      <c r="D93" s="621"/>
      <c r="E93" s="621"/>
      <c r="F93" s="621"/>
      <c r="G93" s="621"/>
      <c r="H93" s="621"/>
      <c r="J93" s="621"/>
      <c r="K93" s="621"/>
      <c r="L93" s="621"/>
      <c r="M93" s="621"/>
      <c r="N93" s="621"/>
    </row>
    <row r="229" spans="1:16">
      <c r="C229" s="625"/>
      <c r="D229" s="625"/>
      <c r="E229" s="625"/>
      <c r="F229" s="625"/>
      <c r="G229" s="625"/>
      <c r="H229" s="625"/>
      <c r="I229" s="625"/>
      <c r="J229" s="625"/>
      <c r="K229" s="625"/>
      <c r="L229" s="626"/>
      <c r="M229" s="621"/>
      <c r="O229" s="622"/>
    </row>
    <row r="230" spans="1:16">
      <c r="A230" s="624"/>
      <c r="B230" s="625"/>
      <c r="C230" s="621"/>
      <c r="D230" s="621"/>
      <c r="E230" s="621"/>
      <c r="F230" s="621"/>
      <c r="G230" s="621"/>
      <c r="H230" s="621"/>
      <c r="J230" s="621"/>
      <c r="K230" s="621"/>
      <c r="L230" s="627"/>
      <c r="M230" s="621"/>
      <c r="O230" s="622"/>
      <c r="P230" s="622"/>
    </row>
    <row r="231" spans="1:16">
      <c r="A231" s="623"/>
      <c r="B231" s="621"/>
      <c r="C231" s="621"/>
      <c r="D231" s="621"/>
      <c r="E231" s="621"/>
      <c r="F231" s="621"/>
      <c r="G231" s="621"/>
      <c r="H231" s="621"/>
      <c r="J231" s="621"/>
      <c r="K231" s="621"/>
      <c r="L231" s="627"/>
      <c r="M231" s="621"/>
      <c r="O231" s="622"/>
      <c r="P231" s="622"/>
    </row>
    <row r="232" spans="1:16">
      <c r="A232" s="623"/>
      <c r="B232" s="621"/>
      <c r="C232" s="621"/>
      <c r="D232" s="621"/>
      <c r="E232" s="621"/>
      <c r="F232" s="621"/>
      <c r="G232" s="621"/>
      <c r="H232" s="621"/>
      <c r="J232" s="621"/>
      <c r="K232" s="621"/>
      <c r="L232" s="627"/>
      <c r="M232" s="621"/>
      <c r="O232" s="622"/>
      <c r="P232" s="622"/>
    </row>
    <row r="233" spans="1:16">
      <c r="A233" s="623"/>
      <c r="B233" s="621"/>
      <c r="C233" s="621"/>
      <c r="D233" s="621"/>
      <c r="E233" s="621"/>
      <c r="F233" s="621"/>
      <c r="G233" s="621"/>
      <c r="H233" s="621"/>
      <c r="J233" s="621"/>
      <c r="K233" s="621"/>
      <c r="L233" s="627"/>
      <c r="M233" s="621"/>
      <c r="O233" s="622"/>
      <c r="P233" s="622"/>
    </row>
    <row r="234" spans="1:16">
      <c r="A234" s="623"/>
      <c r="B234" s="621"/>
      <c r="C234" s="621"/>
      <c r="D234" s="621"/>
      <c r="E234" s="621"/>
      <c r="F234" s="621"/>
      <c r="G234" s="621"/>
      <c r="H234" s="621"/>
      <c r="J234" s="621"/>
      <c r="K234" s="621"/>
      <c r="L234" s="627"/>
      <c r="M234" s="621"/>
      <c r="O234" s="622"/>
      <c r="P234" s="622"/>
    </row>
    <row r="235" spans="1:16">
      <c r="A235" s="623"/>
      <c r="B235" s="621"/>
      <c r="C235" s="621"/>
      <c r="D235" s="621"/>
      <c r="E235" s="621"/>
      <c r="F235" s="621"/>
      <c r="G235" s="621"/>
      <c r="H235" s="621"/>
      <c r="J235" s="621"/>
      <c r="K235" s="621"/>
      <c r="L235" s="627"/>
      <c r="M235" s="621"/>
      <c r="O235" s="622"/>
      <c r="P235" s="622"/>
    </row>
    <row r="236" spans="1:16">
      <c r="A236" s="623"/>
      <c r="B236" s="621"/>
      <c r="C236" s="621"/>
      <c r="D236" s="621"/>
      <c r="E236" s="621"/>
      <c r="F236" s="621"/>
      <c r="G236" s="621"/>
      <c r="H236" s="621"/>
      <c r="J236" s="621"/>
      <c r="K236" s="621"/>
      <c r="L236" s="627"/>
      <c r="M236" s="621"/>
      <c r="O236" s="622"/>
      <c r="P236" s="622"/>
    </row>
    <row r="237" spans="1:16">
      <c r="A237" s="623"/>
      <c r="B237" s="621"/>
      <c r="C237" s="621"/>
      <c r="D237" s="621"/>
      <c r="E237" s="621"/>
      <c r="F237" s="621"/>
      <c r="G237" s="621"/>
      <c r="H237" s="621"/>
      <c r="J237" s="621"/>
      <c r="K237" s="621"/>
      <c r="L237" s="627"/>
      <c r="M237" s="621"/>
      <c r="O237" s="622"/>
      <c r="P237" s="622"/>
    </row>
    <row r="238" spans="1:16">
      <c r="A238" s="623"/>
      <c r="B238" s="621"/>
      <c r="C238" s="621"/>
      <c r="D238" s="621"/>
      <c r="E238" s="621"/>
      <c r="F238" s="621"/>
      <c r="G238" s="621"/>
      <c r="H238" s="621"/>
      <c r="J238" s="621"/>
      <c r="K238" s="621"/>
      <c r="L238" s="627"/>
      <c r="M238" s="621"/>
      <c r="O238" s="622"/>
      <c r="P238" s="622"/>
    </row>
    <row r="239" spans="1:16">
      <c r="A239" s="623"/>
      <c r="B239" s="621"/>
      <c r="C239" s="621"/>
      <c r="D239" s="621"/>
      <c r="E239" s="621"/>
      <c r="F239" s="621"/>
      <c r="G239" s="621"/>
      <c r="H239" s="621"/>
      <c r="J239" s="621"/>
      <c r="K239" s="621"/>
      <c r="L239" s="627"/>
      <c r="M239" s="621"/>
      <c r="O239" s="622"/>
      <c r="P239" s="622"/>
    </row>
    <row r="240" spans="1:16">
      <c r="A240" s="623"/>
      <c r="B240" s="621"/>
      <c r="C240" s="621"/>
      <c r="D240" s="621"/>
      <c r="E240" s="621"/>
      <c r="F240" s="621"/>
      <c r="G240" s="621"/>
      <c r="H240" s="621"/>
      <c r="J240" s="621"/>
      <c r="K240" s="621"/>
      <c r="L240" s="627"/>
      <c r="M240" s="621"/>
      <c r="O240" s="622"/>
      <c r="P240" s="622"/>
    </row>
    <row r="241" spans="1:16">
      <c r="A241" s="623"/>
      <c r="B241" s="621"/>
      <c r="C241" s="621"/>
      <c r="D241" s="621"/>
      <c r="E241" s="621"/>
      <c r="F241" s="621"/>
      <c r="G241" s="621"/>
      <c r="H241" s="621"/>
      <c r="J241" s="621"/>
      <c r="K241" s="621"/>
      <c r="L241" s="627"/>
      <c r="M241" s="621"/>
      <c r="O241" s="622"/>
      <c r="P241" s="622"/>
    </row>
    <row r="242" spans="1:16">
      <c r="A242" s="623"/>
      <c r="B242" s="621"/>
      <c r="C242" s="621"/>
      <c r="D242" s="621"/>
      <c r="E242" s="621"/>
      <c r="F242" s="621"/>
      <c r="G242" s="621"/>
      <c r="H242" s="621"/>
      <c r="J242" s="621"/>
      <c r="K242" s="621"/>
      <c r="L242" s="627"/>
      <c r="M242" s="621"/>
      <c r="O242" s="622"/>
      <c r="P242" s="622"/>
    </row>
    <row r="243" spans="1:16">
      <c r="A243" s="623"/>
      <c r="B243" s="621"/>
      <c r="C243" s="621"/>
      <c r="D243" s="621"/>
      <c r="E243" s="621"/>
      <c r="F243" s="621"/>
      <c r="G243" s="621"/>
      <c r="H243" s="621"/>
      <c r="J243" s="621"/>
      <c r="K243" s="621"/>
      <c r="L243" s="627"/>
      <c r="M243" s="621"/>
      <c r="O243" s="622"/>
      <c r="P243" s="622"/>
    </row>
    <row r="244" spans="1:16">
      <c r="A244" s="623"/>
      <c r="B244" s="621"/>
      <c r="C244" s="621"/>
      <c r="D244" s="621"/>
      <c r="E244" s="621"/>
      <c r="F244" s="621"/>
      <c r="G244" s="621"/>
      <c r="H244" s="621"/>
      <c r="J244" s="621"/>
      <c r="K244" s="621"/>
      <c r="L244" s="627"/>
      <c r="M244" s="621"/>
      <c r="O244" s="622"/>
      <c r="P244" s="622"/>
    </row>
    <row r="245" spans="1:16">
      <c r="A245" s="623"/>
      <c r="B245" s="621"/>
      <c r="C245" s="621"/>
      <c r="D245" s="621"/>
      <c r="E245" s="621"/>
      <c r="F245" s="621"/>
      <c r="G245" s="621"/>
      <c r="H245" s="621"/>
      <c r="J245" s="621"/>
      <c r="K245" s="621"/>
      <c r="L245" s="627"/>
      <c r="M245" s="621"/>
      <c r="O245" s="622"/>
      <c r="P245" s="622"/>
    </row>
    <row r="246" spans="1:16">
      <c r="A246" s="623"/>
      <c r="B246" s="621"/>
      <c r="C246" s="621"/>
      <c r="D246" s="621"/>
      <c r="E246" s="621"/>
      <c r="F246" s="621"/>
      <c r="G246" s="621"/>
      <c r="H246" s="621"/>
      <c r="J246" s="621"/>
      <c r="K246" s="621"/>
      <c r="L246" s="627"/>
      <c r="M246" s="621"/>
      <c r="O246" s="622"/>
      <c r="P246" s="622"/>
    </row>
    <row r="247" spans="1:16">
      <c r="A247" s="623"/>
      <c r="B247" s="621"/>
      <c r="C247" s="621"/>
      <c r="D247" s="621"/>
      <c r="E247" s="621"/>
      <c r="F247" s="621"/>
      <c r="G247" s="621"/>
      <c r="H247" s="621"/>
      <c r="J247" s="621"/>
      <c r="K247" s="621"/>
      <c r="L247" s="627"/>
      <c r="M247" s="621"/>
      <c r="O247" s="622"/>
      <c r="P247" s="622"/>
    </row>
    <row r="248" spans="1:16">
      <c r="A248" s="623"/>
      <c r="B248" s="621"/>
      <c r="C248" s="621"/>
      <c r="D248" s="621"/>
      <c r="E248" s="621"/>
      <c r="F248" s="621"/>
      <c r="G248" s="621"/>
      <c r="H248" s="621"/>
      <c r="J248" s="621"/>
      <c r="K248" s="621"/>
      <c r="L248" s="627"/>
      <c r="M248" s="621"/>
      <c r="O248" s="622"/>
      <c r="P248" s="622"/>
    </row>
    <row r="249" spans="1:16">
      <c r="A249" s="623"/>
      <c r="B249" s="621"/>
      <c r="C249" s="629"/>
      <c r="D249" s="629"/>
      <c r="E249" s="629"/>
      <c r="F249" s="629"/>
      <c r="G249" s="629"/>
      <c r="H249" s="629"/>
      <c r="I249" s="629"/>
      <c r="J249" s="629"/>
      <c r="K249" s="629"/>
      <c r="L249" s="630"/>
      <c r="M249" s="621"/>
      <c r="O249" s="622"/>
      <c r="P249" s="622"/>
    </row>
    <row r="250" spans="1:16">
      <c r="A250" s="628"/>
      <c r="B250" s="629"/>
      <c r="P250" s="622"/>
    </row>
  </sheetData>
  <mergeCells count="26">
    <mergeCell ref="A1:N1"/>
    <mergeCell ref="A2:C2"/>
    <mergeCell ref="D2:L2"/>
    <mergeCell ref="M2:N2"/>
    <mergeCell ref="A3:C3"/>
    <mergeCell ref="D3:N3"/>
    <mergeCell ref="A4:C4"/>
    <mergeCell ref="D4:N4"/>
    <mergeCell ref="A5:C5"/>
    <mergeCell ref="D5:N5"/>
    <mergeCell ref="A6:C6"/>
    <mergeCell ref="D6:N6"/>
    <mergeCell ref="A7:C7"/>
    <mergeCell ref="D7:N7"/>
    <mergeCell ref="A8:C8"/>
    <mergeCell ref="D8:N8"/>
    <mergeCell ref="A85:C85"/>
    <mergeCell ref="D85:N85"/>
    <mergeCell ref="A9:C9"/>
    <mergeCell ref="D9:N9"/>
    <mergeCell ref="A11:A12"/>
    <mergeCell ref="B11:D11"/>
    <mergeCell ref="E11:G11"/>
    <mergeCell ref="H11:J11"/>
    <mergeCell ref="K11:M11"/>
    <mergeCell ref="N11:N12"/>
  </mergeCells>
  <printOptions horizontalCentered="1" verticalCentered="1"/>
  <pageMargins left="0.19685039370078741" right="0.19685039370078741" top="0.39370078740157483" bottom="0.39370078740157483" header="0.19685039370078741" footer="0.19685039370078741"/>
  <pageSetup paperSize="9" scale="80" orientation="landscape" r:id="rId1"/>
  <ignoredErrors>
    <ignoredError sqref="N15:N31 N41:N57"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9">
    <tabColor rgb="FFFFFF00"/>
  </sheetPr>
  <dimension ref="A1:AF301"/>
  <sheetViews>
    <sheetView showGridLines="0" view="pageBreakPreview" topLeftCell="A108" zoomScale="85" zoomScaleNormal="90" zoomScaleSheetLayoutView="85" workbookViewId="0">
      <selection activeCell="P123" sqref="P123"/>
    </sheetView>
  </sheetViews>
  <sheetFormatPr baseColWidth="10" defaultColWidth="12" defaultRowHeight="12"/>
  <cols>
    <col min="1" max="1" width="10.33203125" style="532" customWidth="1"/>
    <col min="2" max="2" width="12.33203125" style="532" customWidth="1"/>
    <col min="3" max="3" width="10.33203125" style="532" customWidth="1"/>
    <col min="4" max="4" width="10" style="532" customWidth="1"/>
    <col min="5" max="5" width="12.1640625" style="532" customWidth="1"/>
    <col min="6" max="6" width="13" style="532" customWidth="1"/>
    <col min="7" max="7" width="11.83203125" style="532" customWidth="1"/>
    <col min="8" max="8" width="11" style="532" customWidth="1"/>
    <col min="9" max="9" width="12.33203125" style="532" customWidth="1"/>
    <col min="10" max="10" width="13" style="532" customWidth="1"/>
    <col min="11" max="11" width="12" style="532" customWidth="1"/>
    <col min="12" max="12" width="10.33203125" style="532" customWidth="1"/>
    <col min="13" max="13" width="11.83203125" style="532" customWidth="1"/>
    <col min="14" max="14" width="12" style="532" customWidth="1"/>
    <col min="15" max="15" width="12" style="531" customWidth="1"/>
    <col min="16" max="16" width="14.5" style="532" customWidth="1"/>
    <col min="17" max="17" width="9" style="532" customWidth="1"/>
    <col min="18" max="18" width="8.33203125" style="532" customWidth="1"/>
    <col min="19" max="19" width="10.33203125" style="538" customWidth="1"/>
    <col min="20" max="21" width="12" style="531"/>
    <col min="22" max="16384" width="12" style="532"/>
  </cols>
  <sheetData>
    <row r="1" spans="1:32" ht="27" customHeight="1" thickBot="1">
      <c r="A1" s="3161" t="s">
        <v>161</v>
      </c>
      <c r="B1" s="3162"/>
      <c r="C1" s="3162"/>
      <c r="D1" s="3162"/>
      <c r="E1" s="3162"/>
      <c r="F1" s="3162"/>
      <c r="G1" s="3162"/>
      <c r="H1" s="3162"/>
      <c r="I1" s="3162"/>
      <c r="J1" s="3162"/>
      <c r="K1" s="3162"/>
      <c r="L1" s="3162"/>
      <c r="M1" s="3162"/>
      <c r="N1" s="3162"/>
      <c r="O1" s="3162"/>
      <c r="P1" s="3162"/>
      <c r="Q1" s="3162"/>
      <c r="R1" s="3162"/>
      <c r="S1" s="3163"/>
    </row>
    <row r="2" spans="1:32" ht="27.75" customHeight="1">
      <c r="A2" s="3631" t="s">
        <v>58</v>
      </c>
      <c r="B2" s="3386"/>
      <c r="C2" s="3386"/>
      <c r="D2" s="3632" t="s">
        <v>502</v>
      </c>
      <c r="E2" s="3632"/>
      <c r="F2" s="3632"/>
      <c r="G2" s="3632"/>
      <c r="H2" s="3632"/>
      <c r="I2" s="3632"/>
      <c r="J2" s="3632"/>
      <c r="K2" s="3632"/>
      <c r="L2" s="3632"/>
      <c r="M2" s="3632"/>
      <c r="N2" s="3632"/>
      <c r="O2" s="3633"/>
      <c r="P2" s="3632"/>
      <c r="Q2" s="3632"/>
      <c r="R2" s="3358" t="s">
        <v>452</v>
      </c>
      <c r="S2" s="3634"/>
    </row>
    <row r="3" spans="1:32">
      <c r="A3" s="3153" t="s">
        <v>8</v>
      </c>
      <c r="B3" s="3370"/>
      <c r="C3" s="3384"/>
      <c r="D3" s="3385" t="s">
        <v>46</v>
      </c>
      <c r="E3" s="3385"/>
      <c r="F3" s="3385"/>
      <c r="G3" s="3385"/>
      <c r="H3" s="3385"/>
      <c r="I3" s="3385"/>
      <c r="J3" s="3385"/>
      <c r="K3" s="3385"/>
      <c r="L3" s="3385"/>
      <c r="M3" s="3385"/>
      <c r="N3" s="3385"/>
      <c r="O3" s="3349"/>
      <c r="P3" s="3349"/>
      <c r="Q3" s="3349"/>
      <c r="R3" s="3349"/>
      <c r="S3" s="3635"/>
    </row>
    <row r="4" spans="1:32">
      <c r="A4" s="3153" t="s">
        <v>61</v>
      </c>
      <c r="B4" s="3370"/>
      <c r="C4" s="3370"/>
      <c r="D4" s="3349" t="s">
        <v>453</v>
      </c>
      <c r="E4" s="3349"/>
      <c r="F4" s="3349"/>
      <c r="G4" s="3349"/>
      <c r="H4" s="3349"/>
      <c r="I4" s="3349"/>
      <c r="J4" s="3349"/>
      <c r="K4" s="3349"/>
      <c r="L4" s="3349"/>
      <c r="M4" s="3349"/>
      <c r="N4" s="3349"/>
      <c r="O4" s="3349"/>
      <c r="P4" s="3349"/>
      <c r="Q4" s="3349"/>
      <c r="R4" s="3349"/>
      <c r="S4" s="3635"/>
    </row>
    <row r="5" spans="1:32">
      <c r="A5" s="3153" t="s">
        <v>62</v>
      </c>
      <c r="B5" s="3370"/>
      <c r="C5" s="3370"/>
      <c r="D5" s="3349"/>
      <c r="E5" s="3349"/>
      <c r="F5" s="3349"/>
      <c r="G5" s="3349"/>
      <c r="H5" s="3349"/>
      <c r="I5" s="3349"/>
      <c r="J5" s="3349"/>
      <c r="K5" s="3349"/>
      <c r="L5" s="3349"/>
      <c r="M5" s="3349"/>
      <c r="N5" s="3349"/>
      <c r="O5" s="3349"/>
      <c r="P5" s="3349"/>
      <c r="Q5" s="3349"/>
      <c r="R5" s="3349"/>
      <c r="S5" s="3635"/>
    </row>
    <row r="6" spans="1:32" ht="37.5" customHeight="1">
      <c r="A6" s="3153" t="s">
        <v>63</v>
      </c>
      <c r="B6" s="3370"/>
      <c r="C6" s="3370"/>
      <c r="D6" s="3350" t="s">
        <v>454</v>
      </c>
      <c r="E6" s="3350"/>
      <c r="F6" s="3350"/>
      <c r="G6" s="3350"/>
      <c r="H6" s="3350"/>
      <c r="I6" s="3350"/>
      <c r="J6" s="3350"/>
      <c r="K6" s="3350"/>
      <c r="L6" s="3350"/>
      <c r="M6" s="3350"/>
      <c r="N6" s="3350"/>
      <c r="O6" s="3350"/>
      <c r="P6" s="3350"/>
      <c r="Q6" s="3350"/>
      <c r="R6" s="3350"/>
      <c r="S6" s="3636"/>
      <c r="AF6" s="543"/>
    </row>
    <row r="7" spans="1:32">
      <c r="A7" s="3153" t="s">
        <v>65</v>
      </c>
      <c r="B7" s="3370"/>
      <c r="C7" s="3370"/>
      <c r="D7" s="3349" t="s">
        <v>12</v>
      </c>
      <c r="E7" s="3349"/>
      <c r="F7" s="3349"/>
      <c r="G7" s="3349"/>
      <c r="H7" s="3349"/>
      <c r="I7" s="3349"/>
      <c r="J7" s="3349"/>
      <c r="K7" s="3349"/>
      <c r="L7" s="3349"/>
      <c r="M7" s="3349"/>
      <c r="N7" s="3349"/>
      <c r="O7" s="3349"/>
      <c r="P7" s="3349"/>
      <c r="Q7" s="3349"/>
      <c r="R7" s="3349"/>
      <c r="S7" s="3635"/>
    </row>
    <row r="8" spans="1:32">
      <c r="A8" s="3153" t="s">
        <v>9</v>
      </c>
      <c r="B8" s="3370"/>
      <c r="C8" s="3370"/>
      <c r="D8" s="3382" t="s">
        <v>700</v>
      </c>
      <c r="E8" s="3382"/>
      <c r="F8" s="3382"/>
      <c r="G8" s="3382"/>
      <c r="H8" s="3382"/>
      <c r="I8" s="3382"/>
      <c r="J8" s="3382"/>
      <c r="K8" s="3382"/>
      <c r="L8" s="3382"/>
      <c r="M8" s="3382"/>
      <c r="N8" s="3382"/>
      <c r="O8" s="3382"/>
      <c r="P8" s="3382"/>
      <c r="Q8" s="3382"/>
      <c r="R8" s="3382"/>
      <c r="S8" s="3637"/>
    </row>
    <row r="9" spans="1:32" s="531" customFormat="1">
      <c r="A9" s="3153" t="s">
        <v>158</v>
      </c>
      <c r="B9" s="3370"/>
      <c r="C9" s="3370"/>
      <c r="D9" s="3349" t="s">
        <v>455</v>
      </c>
      <c r="E9" s="3349"/>
      <c r="F9" s="3349"/>
      <c r="G9" s="3349"/>
      <c r="H9" s="3349"/>
      <c r="I9" s="3349"/>
      <c r="J9" s="3349"/>
      <c r="K9" s="3349"/>
      <c r="L9" s="3349"/>
      <c r="M9" s="3349"/>
      <c r="N9" s="3349"/>
      <c r="O9" s="3349"/>
      <c r="P9" s="3349"/>
      <c r="Q9" s="3349"/>
      <c r="R9" s="3349"/>
      <c r="S9" s="3635"/>
    </row>
    <row r="10" spans="1:32" ht="23.25" customHeight="1">
      <c r="A10" s="3153" t="s">
        <v>66</v>
      </c>
      <c r="B10" s="3370"/>
      <c r="C10" s="3370"/>
      <c r="D10" s="3346" t="s">
        <v>456</v>
      </c>
      <c r="E10" s="3346"/>
      <c r="F10" s="3346"/>
      <c r="G10" s="3346"/>
      <c r="H10" s="3346"/>
      <c r="I10" s="3346"/>
      <c r="J10" s="3346"/>
      <c r="K10" s="3346"/>
      <c r="L10" s="3346"/>
      <c r="M10" s="3346"/>
      <c r="N10" s="3346"/>
      <c r="O10" s="3346"/>
      <c r="P10" s="3346"/>
      <c r="Q10" s="3346"/>
      <c r="R10" s="3346"/>
      <c r="S10" s="3638"/>
      <c r="U10" s="239" t="s">
        <v>150</v>
      </c>
    </row>
    <row r="11" spans="1:32" ht="12.75">
      <c r="A11" s="3153" t="s">
        <v>67</v>
      </c>
      <c r="B11" s="3370"/>
      <c r="C11" s="3370"/>
      <c r="D11" s="3349" t="s">
        <v>451</v>
      </c>
      <c r="E11" s="3349"/>
      <c r="F11" s="3349"/>
      <c r="G11" s="3349"/>
      <c r="H11" s="3349"/>
      <c r="I11" s="3349"/>
      <c r="J11" s="3349"/>
      <c r="K11" s="3349"/>
      <c r="L11" s="3349"/>
      <c r="M11" s="3349"/>
      <c r="N11" s="3349"/>
      <c r="O11" s="3349"/>
      <c r="P11" s="3349"/>
      <c r="Q11" s="3349"/>
      <c r="R11" s="3349"/>
      <c r="S11" s="3349"/>
      <c r="U11" s="239" t="s">
        <v>197</v>
      </c>
    </row>
    <row r="12" spans="1:32" s="531" customFormat="1" ht="12.75" thickBot="1">
      <c r="A12" s="1753"/>
      <c r="B12" s="84"/>
      <c r="C12" s="84"/>
      <c r="D12" s="1831"/>
      <c r="E12" s="8"/>
      <c r="F12" s="8"/>
      <c r="G12" s="8"/>
      <c r="H12" s="8"/>
      <c r="I12" s="8"/>
      <c r="J12" s="8"/>
      <c r="K12" s="8"/>
      <c r="L12" s="8"/>
      <c r="M12" s="8"/>
      <c r="N12" s="8"/>
      <c r="O12" s="8"/>
      <c r="P12" s="8"/>
      <c r="Q12" s="8"/>
      <c r="R12" s="1831"/>
      <c r="S12" s="1697"/>
      <c r="T12" s="8"/>
      <c r="U12" s="8"/>
    </row>
    <row r="13" spans="1:32" s="531" customFormat="1" ht="18.75" thickBot="1">
      <c r="A13" s="3641" t="s">
        <v>506</v>
      </c>
      <c r="B13" s="3642"/>
      <c r="C13" s="3642"/>
      <c r="D13" s="3642"/>
      <c r="E13" s="3642"/>
      <c r="F13" s="3642"/>
      <c r="G13" s="3642"/>
      <c r="H13" s="3642"/>
      <c r="I13" s="3642"/>
      <c r="J13" s="3643"/>
      <c r="O13" s="8"/>
      <c r="P13" s="8"/>
      <c r="Q13" s="8"/>
      <c r="R13" s="8"/>
      <c r="S13" s="1754"/>
      <c r="T13" s="8"/>
      <c r="U13" s="8"/>
    </row>
    <row r="14" spans="1:32" ht="39.75" customHeight="1" thickBot="1">
      <c r="A14" s="3644" t="s">
        <v>70</v>
      </c>
      <c r="B14" s="3651" t="s">
        <v>464</v>
      </c>
      <c r="C14" s="3652"/>
      <c r="D14" s="3652"/>
      <c r="E14" s="3653"/>
      <c r="F14" s="3646" t="s">
        <v>465</v>
      </c>
      <c r="G14" s="3647"/>
      <c r="H14" s="3647"/>
      <c r="I14" s="3648"/>
      <c r="J14" s="3649" t="s">
        <v>458</v>
      </c>
      <c r="K14" s="531"/>
      <c r="L14" s="531"/>
      <c r="M14" s="531"/>
      <c r="N14" s="531"/>
      <c r="O14" s="8"/>
      <c r="P14" s="8"/>
      <c r="Q14" s="8"/>
      <c r="R14" s="8"/>
      <c r="S14" s="1754"/>
      <c r="T14" s="8"/>
      <c r="U14" s="8"/>
    </row>
    <row r="15" spans="1:32" ht="24.75" thickBot="1">
      <c r="A15" s="3645"/>
      <c r="B15" s="1026" t="s">
        <v>401</v>
      </c>
      <c r="C15" s="1027" t="s">
        <v>241</v>
      </c>
      <c r="D15" s="2381" t="s">
        <v>459</v>
      </c>
      <c r="E15" s="1028" t="s">
        <v>460</v>
      </c>
      <c r="F15" s="1035" t="s">
        <v>401</v>
      </c>
      <c r="G15" s="1036" t="s">
        <v>241</v>
      </c>
      <c r="H15" s="1037" t="s">
        <v>459</v>
      </c>
      <c r="I15" s="1038" t="s">
        <v>460</v>
      </c>
      <c r="J15" s="3650"/>
      <c r="K15" s="531"/>
      <c r="L15" s="531"/>
      <c r="M15" s="531"/>
      <c r="N15" s="531"/>
      <c r="O15" s="8"/>
      <c r="P15" s="8"/>
      <c r="Q15" s="8"/>
      <c r="R15" s="8"/>
      <c r="S15" s="1754"/>
      <c r="T15" s="8"/>
      <c r="U15" s="8"/>
    </row>
    <row r="16" spans="1:32" ht="12.75" hidden="1">
      <c r="A16" s="714">
        <v>41852</v>
      </c>
      <c r="B16" s="718">
        <v>0</v>
      </c>
      <c r="C16" s="547">
        <v>0</v>
      </c>
      <c r="D16" s="547">
        <v>0</v>
      </c>
      <c r="E16" s="719">
        <v>0</v>
      </c>
      <c r="F16" s="1022">
        <f>B16</f>
        <v>0</v>
      </c>
      <c r="G16" s="555">
        <f>C16</f>
        <v>0</v>
      </c>
      <c r="H16" s="555">
        <f>D16</f>
        <v>0</v>
      </c>
      <c r="I16" s="1030">
        <f>E16</f>
        <v>0</v>
      </c>
      <c r="J16" s="1034">
        <f>SUM(F16:I16)</f>
        <v>0</v>
      </c>
      <c r="K16" s="531"/>
      <c r="L16" s="531"/>
      <c r="M16" s="531"/>
      <c r="N16" s="531"/>
      <c r="O16" s="8"/>
      <c r="P16" s="8"/>
      <c r="Q16" s="8"/>
      <c r="R16" s="8"/>
      <c r="S16" s="1754"/>
      <c r="T16" s="8"/>
      <c r="U16" s="8"/>
    </row>
    <row r="17" spans="1:21" ht="12.75" hidden="1">
      <c r="A17" s="715">
        <v>41883</v>
      </c>
      <c r="B17" s="1834">
        <v>0</v>
      </c>
      <c r="C17" s="1833">
        <v>0</v>
      </c>
      <c r="D17" s="1833">
        <v>0</v>
      </c>
      <c r="E17" s="720">
        <v>0</v>
      </c>
      <c r="F17" s="1023">
        <f>F16+B17</f>
        <v>0</v>
      </c>
      <c r="G17" s="545">
        <f t="shared" ref="G17:I28" si="0">G16+C17</f>
        <v>0</v>
      </c>
      <c r="H17" s="545">
        <f t="shared" si="0"/>
        <v>0</v>
      </c>
      <c r="I17" s="1031">
        <f t="shared" si="0"/>
        <v>0</v>
      </c>
      <c r="J17" s="646">
        <f t="shared" ref="J17:J32" si="1">SUM(F17:I17)</f>
        <v>0</v>
      </c>
      <c r="K17" s="531"/>
      <c r="L17" s="531"/>
      <c r="M17" s="531"/>
      <c r="N17" s="531"/>
      <c r="O17" s="8"/>
      <c r="P17" s="8"/>
      <c r="Q17" s="8"/>
      <c r="R17" s="8"/>
      <c r="S17" s="1754"/>
      <c r="T17" s="8"/>
      <c r="U17" s="8"/>
    </row>
    <row r="18" spans="1:21" ht="12.75" hidden="1">
      <c r="A18" s="715">
        <v>41913</v>
      </c>
      <c r="B18" s="1834">
        <v>0</v>
      </c>
      <c r="C18" s="1833">
        <v>0</v>
      </c>
      <c r="D18" s="1833">
        <v>0</v>
      </c>
      <c r="E18" s="720">
        <v>0</v>
      </c>
      <c r="F18" s="1023">
        <f>F17+B18</f>
        <v>0</v>
      </c>
      <c r="G18" s="545">
        <f t="shared" si="0"/>
        <v>0</v>
      </c>
      <c r="H18" s="545">
        <f t="shared" si="0"/>
        <v>0</v>
      </c>
      <c r="I18" s="1031">
        <f t="shared" si="0"/>
        <v>0</v>
      </c>
      <c r="J18" s="646">
        <f t="shared" si="1"/>
        <v>0</v>
      </c>
      <c r="K18" s="531"/>
      <c r="L18" s="531"/>
      <c r="M18" s="531"/>
      <c r="N18" s="531"/>
      <c r="O18" s="8"/>
      <c r="P18" s="8"/>
      <c r="Q18" s="8"/>
      <c r="R18" s="8"/>
      <c r="S18" s="1754"/>
      <c r="T18" s="8"/>
      <c r="U18" s="8"/>
    </row>
    <row r="19" spans="1:21" ht="12.75" hidden="1">
      <c r="A19" s="715">
        <v>41944</v>
      </c>
      <c r="B19" s="1834">
        <v>0</v>
      </c>
      <c r="C19" s="1833">
        <v>0</v>
      </c>
      <c r="D19" s="1833">
        <v>0</v>
      </c>
      <c r="E19" s="720">
        <v>42</v>
      </c>
      <c r="F19" s="1023">
        <f>F18+B19</f>
        <v>0</v>
      </c>
      <c r="G19" s="545">
        <f t="shared" si="0"/>
        <v>0</v>
      </c>
      <c r="H19" s="545">
        <f t="shared" si="0"/>
        <v>0</v>
      </c>
      <c r="I19" s="1031">
        <f t="shared" si="0"/>
        <v>42</v>
      </c>
      <c r="J19" s="646">
        <f t="shared" si="1"/>
        <v>42</v>
      </c>
      <c r="K19" s="531"/>
      <c r="L19" s="531"/>
      <c r="M19" s="531"/>
      <c r="N19" s="531"/>
      <c r="O19" s="8"/>
      <c r="P19" s="8"/>
      <c r="Q19" s="8"/>
      <c r="R19" s="8"/>
      <c r="S19" s="1754"/>
      <c r="T19" s="8"/>
      <c r="U19" s="8"/>
    </row>
    <row r="20" spans="1:21" ht="12.75" hidden="1">
      <c r="A20" s="716">
        <v>41974</v>
      </c>
      <c r="B20" s="600">
        <v>0</v>
      </c>
      <c r="C20" s="1825">
        <v>3</v>
      </c>
      <c r="D20" s="1825">
        <v>0</v>
      </c>
      <c r="E20" s="721">
        <v>0</v>
      </c>
      <c r="F20" s="1024">
        <f t="shared" ref="F20:F32" si="2">F19+B20</f>
        <v>0</v>
      </c>
      <c r="G20" s="598">
        <f t="shared" si="0"/>
        <v>3</v>
      </c>
      <c r="H20" s="598">
        <f t="shared" si="0"/>
        <v>0</v>
      </c>
      <c r="I20" s="1032">
        <f t="shared" si="0"/>
        <v>42</v>
      </c>
      <c r="J20" s="736">
        <f t="shared" si="1"/>
        <v>45</v>
      </c>
      <c r="K20" s="531"/>
      <c r="L20" s="531"/>
      <c r="M20" s="531"/>
      <c r="N20" s="531"/>
      <c r="O20" s="8"/>
      <c r="P20" s="8"/>
      <c r="Q20" s="8"/>
      <c r="R20" s="8"/>
      <c r="S20" s="1754"/>
      <c r="T20" s="8"/>
      <c r="U20" s="8"/>
    </row>
    <row r="21" spans="1:21" s="1" customFormat="1" ht="19.5" hidden="1" customHeight="1">
      <c r="A21" s="1021">
        <v>42005</v>
      </c>
      <c r="B21" s="1827">
        <v>0</v>
      </c>
      <c r="C21" s="1828">
        <v>3</v>
      </c>
      <c r="D21" s="1828">
        <v>0</v>
      </c>
      <c r="E21" s="722">
        <v>0</v>
      </c>
      <c r="F21" s="1025">
        <f t="shared" si="2"/>
        <v>0</v>
      </c>
      <c r="G21" s="599">
        <f t="shared" si="0"/>
        <v>6</v>
      </c>
      <c r="H21" s="599">
        <f t="shared" si="0"/>
        <v>0</v>
      </c>
      <c r="I21" s="1033">
        <f t="shared" si="0"/>
        <v>42</v>
      </c>
      <c r="J21" s="645">
        <f>SUM(F21:I21)</f>
        <v>48</v>
      </c>
      <c r="K21" s="1258"/>
      <c r="L21" s="1258"/>
      <c r="M21" s="1258"/>
      <c r="N21" s="1258"/>
      <c r="O21" s="1258"/>
      <c r="P21" s="1258"/>
      <c r="Q21" s="1258"/>
      <c r="R21" s="1258"/>
      <c r="S21" s="1755"/>
      <c r="T21" s="4"/>
      <c r="U21" s="4"/>
    </row>
    <row r="22" spans="1:21" s="1" customFormat="1" ht="19.5" hidden="1" customHeight="1">
      <c r="A22" s="715">
        <v>42036</v>
      </c>
      <c r="B22" s="1834">
        <v>10</v>
      </c>
      <c r="C22" s="1833">
        <v>22</v>
      </c>
      <c r="D22" s="1833">
        <v>5</v>
      </c>
      <c r="E22" s="720">
        <v>0</v>
      </c>
      <c r="F22" s="1023">
        <f t="shared" si="2"/>
        <v>10</v>
      </c>
      <c r="G22" s="545">
        <f>G21+C22</f>
        <v>28</v>
      </c>
      <c r="H22" s="545">
        <f t="shared" si="0"/>
        <v>5</v>
      </c>
      <c r="I22" s="1031">
        <f t="shared" si="0"/>
        <v>42</v>
      </c>
      <c r="J22" s="646">
        <f>SUM(F22:I22)</f>
        <v>85</v>
      </c>
      <c r="K22" s="1258"/>
      <c r="L22" s="1258"/>
      <c r="M22" s="1258"/>
      <c r="N22" s="1258"/>
      <c r="O22" s="1258"/>
      <c r="P22" s="1258"/>
      <c r="Q22" s="1258"/>
      <c r="R22" s="1258"/>
      <c r="S22" s="1755"/>
      <c r="T22" s="4"/>
      <c r="U22" s="4"/>
    </row>
    <row r="23" spans="1:21" s="1" customFormat="1" ht="19.5" hidden="1" customHeight="1">
      <c r="A23" s="715">
        <v>42064</v>
      </c>
      <c r="B23" s="1834">
        <v>15</v>
      </c>
      <c r="C23" s="1833">
        <v>32</v>
      </c>
      <c r="D23" s="1833">
        <v>0</v>
      </c>
      <c r="E23" s="720">
        <v>0</v>
      </c>
      <c r="F23" s="1023">
        <f t="shared" si="2"/>
        <v>25</v>
      </c>
      <c r="G23" s="545">
        <f>G22+C23</f>
        <v>60</v>
      </c>
      <c r="H23" s="545">
        <f t="shared" si="0"/>
        <v>5</v>
      </c>
      <c r="I23" s="1031">
        <f t="shared" si="0"/>
        <v>42</v>
      </c>
      <c r="J23" s="646">
        <f t="shared" si="1"/>
        <v>132</v>
      </c>
      <c r="K23" s="1258"/>
      <c r="L23" s="1258"/>
      <c r="M23" s="1258"/>
      <c r="N23" s="1258"/>
      <c r="O23" s="1258"/>
      <c r="P23" s="1258"/>
      <c r="Q23" s="1258"/>
      <c r="R23" s="1258"/>
      <c r="S23" s="1755"/>
      <c r="T23" s="4"/>
      <c r="U23" s="4"/>
    </row>
    <row r="24" spans="1:21" s="1" customFormat="1" ht="19.5" hidden="1" customHeight="1">
      <c r="A24" s="715">
        <v>42095</v>
      </c>
      <c r="B24" s="1834">
        <v>5</v>
      </c>
      <c r="C24" s="1833">
        <v>14</v>
      </c>
      <c r="D24" s="1833">
        <v>5</v>
      </c>
      <c r="E24" s="720">
        <v>0</v>
      </c>
      <c r="F24" s="1023">
        <f>F23+B24</f>
        <v>30</v>
      </c>
      <c r="G24" s="545">
        <f t="shared" si="0"/>
        <v>74</v>
      </c>
      <c r="H24" s="545">
        <f t="shared" si="0"/>
        <v>10</v>
      </c>
      <c r="I24" s="1031">
        <f t="shared" si="0"/>
        <v>42</v>
      </c>
      <c r="J24" s="646">
        <f t="shared" si="1"/>
        <v>156</v>
      </c>
      <c r="K24" s="1258"/>
      <c r="L24" s="1258"/>
      <c r="M24" s="1258"/>
      <c r="N24" s="1258"/>
      <c r="O24" s="1258"/>
      <c r="P24" s="1258"/>
      <c r="Q24" s="1258"/>
      <c r="R24" s="1258"/>
      <c r="S24" s="1755"/>
      <c r="T24" s="4"/>
      <c r="U24" s="4"/>
    </row>
    <row r="25" spans="1:21" s="1" customFormat="1" ht="19.5" hidden="1" customHeight="1">
      <c r="A25" s="715">
        <v>42125</v>
      </c>
      <c r="B25" s="1834">
        <v>6</v>
      </c>
      <c r="C25" s="1833">
        <v>2</v>
      </c>
      <c r="D25" s="1833">
        <v>0</v>
      </c>
      <c r="E25" s="720">
        <v>0</v>
      </c>
      <c r="F25" s="1023">
        <f t="shared" si="2"/>
        <v>36</v>
      </c>
      <c r="G25" s="545">
        <f t="shared" si="0"/>
        <v>76</v>
      </c>
      <c r="H25" s="545">
        <f t="shared" si="0"/>
        <v>10</v>
      </c>
      <c r="I25" s="1031">
        <f t="shared" si="0"/>
        <v>42</v>
      </c>
      <c r="J25" s="646">
        <f t="shared" si="1"/>
        <v>164</v>
      </c>
      <c r="K25" s="1258"/>
      <c r="L25" s="1258"/>
      <c r="M25" s="1258"/>
      <c r="N25" s="1258"/>
      <c r="O25" s="1258"/>
      <c r="P25" s="1258"/>
      <c r="Q25" s="1258"/>
      <c r="R25" s="1258"/>
      <c r="S25" s="1755"/>
      <c r="T25" s="4"/>
      <c r="U25" s="4"/>
    </row>
    <row r="26" spans="1:21" s="1" customFormat="1" ht="19.5" hidden="1" customHeight="1">
      <c r="A26" s="715">
        <v>42156</v>
      </c>
      <c r="B26" s="1834">
        <v>0</v>
      </c>
      <c r="C26" s="1833">
        <v>0</v>
      </c>
      <c r="D26" s="1833">
        <v>0</v>
      </c>
      <c r="E26" s="720">
        <v>0</v>
      </c>
      <c r="F26" s="1023">
        <f t="shared" si="2"/>
        <v>36</v>
      </c>
      <c r="G26" s="545">
        <f t="shared" si="0"/>
        <v>76</v>
      </c>
      <c r="H26" s="545">
        <f t="shared" si="0"/>
        <v>10</v>
      </c>
      <c r="I26" s="1031">
        <f t="shared" si="0"/>
        <v>42</v>
      </c>
      <c r="J26" s="646">
        <f t="shared" si="1"/>
        <v>164</v>
      </c>
      <c r="K26" s="1258"/>
      <c r="L26" s="1258"/>
      <c r="M26" s="1258"/>
      <c r="N26" s="1258"/>
      <c r="O26" s="1258"/>
      <c r="P26" s="1258"/>
      <c r="Q26" s="1258"/>
      <c r="R26" s="1258"/>
      <c r="S26" s="1755"/>
      <c r="T26" s="4"/>
      <c r="U26" s="4"/>
    </row>
    <row r="27" spans="1:21" s="1" customFormat="1" ht="19.5" hidden="1" customHeight="1">
      <c r="A27" s="715">
        <v>42186</v>
      </c>
      <c r="B27" s="1834">
        <v>1</v>
      </c>
      <c r="C27" s="1833">
        <v>0</v>
      </c>
      <c r="D27" s="1833">
        <v>0</v>
      </c>
      <c r="E27" s="720">
        <v>0</v>
      </c>
      <c r="F27" s="1023">
        <f t="shared" si="2"/>
        <v>37</v>
      </c>
      <c r="G27" s="545">
        <f t="shared" si="0"/>
        <v>76</v>
      </c>
      <c r="H27" s="545">
        <f t="shared" si="0"/>
        <v>10</v>
      </c>
      <c r="I27" s="1031">
        <f t="shared" si="0"/>
        <v>42</v>
      </c>
      <c r="J27" s="646">
        <f t="shared" si="1"/>
        <v>165</v>
      </c>
      <c r="K27" s="1258"/>
      <c r="L27" s="1258"/>
      <c r="M27" s="1258"/>
      <c r="N27" s="1258"/>
      <c r="O27" s="1258"/>
      <c r="P27" s="1258"/>
      <c r="Q27" s="1258"/>
      <c r="R27" s="1258"/>
      <c r="S27" s="1755"/>
      <c r="T27" s="4"/>
      <c r="U27" s="4"/>
    </row>
    <row r="28" spans="1:21" s="1" customFormat="1" ht="19.5" hidden="1" customHeight="1">
      <c r="A28" s="715">
        <v>42217</v>
      </c>
      <c r="B28" s="1834">
        <v>1</v>
      </c>
      <c r="C28" s="1833">
        <v>3</v>
      </c>
      <c r="D28" s="1833">
        <v>0</v>
      </c>
      <c r="E28" s="720">
        <v>0</v>
      </c>
      <c r="F28" s="1023">
        <f t="shared" si="2"/>
        <v>38</v>
      </c>
      <c r="G28" s="545">
        <f t="shared" si="0"/>
        <v>79</v>
      </c>
      <c r="H28" s="545">
        <f t="shared" si="0"/>
        <v>10</v>
      </c>
      <c r="I28" s="1031">
        <f t="shared" si="0"/>
        <v>42</v>
      </c>
      <c r="J28" s="646">
        <f t="shared" si="1"/>
        <v>169</v>
      </c>
      <c r="K28" s="1258"/>
      <c r="L28" s="1258"/>
      <c r="M28" s="1258"/>
      <c r="N28" s="1258"/>
      <c r="O28" s="1258"/>
      <c r="P28" s="1258"/>
      <c r="Q28" s="1258"/>
      <c r="R28" s="1258"/>
      <c r="S28" s="1755"/>
      <c r="T28" s="4"/>
      <c r="U28" s="4"/>
    </row>
    <row r="29" spans="1:21" s="1" customFormat="1" ht="19.5" hidden="1" customHeight="1">
      <c r="A29" s="716">
        <v>42248</v>
      </c>
      <c r="B29" s="600">
        <v>1</v>
      </c>
      <c r="C29" s="1825">
        <v>5</v>
      </c>
      <c r="D29" s="1825">
        <v>0</v>
      </c>
      <c r="E29" s="721">
        <v>0</v>
      </c>
      <c r="F29" s="1024">
        <f t="shared" si="2"/>
        <v>39</v>
      </c>
      <c r="G29" s="598">
        <f t="shared" ref="G29:I32" si="3">G28+C29</f>
        <v>84</v>
      </c>
      <c r="H29" s="598">
        <f t="shared" si="3"/>
        <v>10</v>
      </c>
      <c r="I29" s="1032">
        <f t="shared" si="3"/>
        <v>42</v>
      </c>
      <c r="J29" s="736">
        <f>SUM(F29:I29)</f>
        <v>175</v>
      </c>
      <c r="K29" s="1258"/>
      <c r="L29" s="1258"/>
      <c r="M29" s="1258"/>
      <c r="N29" s="1258"/>
      <c r="O29" s="1258"/>
      <c r="P29" s="1258"/>
      <c r="Q29" s="1258"/>
      <c r="R29" s="1258"/>
      <c r="S29" s="1755"/>
      <c r="T29" s="4"/>
      <c r="U29" s="4"/>
    </row>
    <row r="30" spans="1:21" s="1" customFormat="1" ht="19.5" hidden="1" customHeight="1">
      <c r="A30" s="1021">
        <v>42278</v>
      </c>
      <c r="B30" s="723">
        <v>0</v>
      </c>
      <c r="C30" s="713">
        <v>11</v>
      </c>
      <c r="D30" s="713">
        <v>0</v>
      </c>
      <c r="E30" s="1029">
        <v>0</v>
      </c>
      <c r="F30" s="1025">
        <f t="shared" si="2"/>
        <v>39</v>
      </c>
      <c r="G30" s="599">
        <f t="shared" si="3"/>
        <v>95</v>
      </c>
      <c r="H30" s="599">
        <f t="shared" si="3"/>
        <v>10</v>
      </c>
      <c r="I30" s="1033">
        <f t="shared" si="3"/>
        <v>42</v>
      </c>
      <c r="J30" s="645">
        <f>SUM(F30:I30)</f>
        <v>186</v>
      </c>
      <c r="K30" s="1258"/>
      <c r="L30" s="1258"/>
      <c r="M30" s="1258"/>
      <c r="N30" s="1258"/>
      <c r="O30" s="1258"/>
      <c r="P30" s="1258"/>
      <c r="Q30" s="1258"/>
      <c r="R30" s="1258"/>
      <c r="S30" s="1755"/>
      <c r="T30" s="4"/>
      <c r="U30" s="4"/>
    </row>
    <row r="31" spans="1:21" s="1" customFormat="1" ht="12.75" hidden="1">
      <c r="A31" s="716">
        <v>42309</v>
      </c>
      <c r="B31" s="600">
        <v>0</v>
      </c>
      <c r="C31" s="1825">
        <v>12</v>
      </c>
      <c r="D31" s="1825">
        <v>0</v>
      </c>
      <c r="E31" s="721">
        <v>0</v>
      </c>
      <c r="F31" s="1024">
        <f t="shared" si="2"/>
        <v>39</v>
      </c>
      <c r="G31" s="598">
        <f t="shared" si="3"/>
        <v>107</v>
      </c>
      <c r="H31" s="598">
        <f t="shared" si="3"/>
        <v>10</v>
      </c>
      <c r="I31" s="1032">
        <f t="shared" si="3"/>
        <v>42</v>
      </c>
      <c r="J31" s="736">
        <f>SUM(F31:I31)</f>
        <v>198</v>
      </c>
      <c r="K31" s="1258"/>
      <c r="L31" s="1258"/>
      <c r="M31" s="1258"/>
      <c r="N31" s="1258"/>
      <c r="O31" s="1258"/>
      <c r="P31" s="1258"/>
      <c r="Q31" s="1258"/>
      <c r="R31" s="1258"/>
      <c r="S31" s="1755"/>
      <c r="T31" s="4"/>
      <c r="U31" s="4"/>
    </row>
    <row r="32" spans="1:21" s="1" customFormat="1" ht="12.75" hidden="1">
      <c r="A32" s="1021">
        <v>42339</v>
      </c>
      <c r="B32" s="1827">
        <v>0</v>
      </c>
      <c r="C32" s="1828">
        <v>15</v>
      </c>
      <c r="D32" s="1828">
        <v>0</v>
      </c>
      <c r="E32" s="722">
        <v>0</v>
      </c>
      <c r="F32" s="1025">
        <f t="shared" si="2"/>
        <v>39</v>
      </c>
      <c r="G32" s="599">
        <f t="shared" si="3"/>
        <v>122</v>
      </c>
      <c r="H32" s="599">
        <f t="shared" si="3"/>
        <v>10</v>
      </c>
      <c r="I32" s="1033">
        <f t="shared" si="3"/>
        <v>42</v>
      </c>
      <c r="J32" s="645">
        <f t="shared" si="1"/>
        <v>213</v>
      </c>
      <c r="K32" s="1258"/>
      <c r="L32" s="1258"/>
      <c r="M32" s="1258"/>
      <c r="N32" s="1258"/>
      <c r="O32" s="1258"/>
      <c r="P32" s="1258"/>
      <c r="Q32" s="1258"/>
      <c r="R32" s="1258"/>
      <c r="S32" s="1755"/>
      <c r="T32" s="4"/>
      <c r="U32" s="4"/>
    </row>
    <row r="33" spans="1:21" s="1" customFormat="1" ht="12.75" hidden="1">
      <c r="A33" s="715">
        <v>42370</v>
      </c>
      <c r="B33" s="1834">
        <v>7</v>
      </c>
      <c r="C33" s="1833">
        <v>12</v>
      </c>
      <c r="D33" s="1833">
        <v>0</v>
      </c>
      <c r="E33" s="720">
        <v>0</v>
      </c>
      <c r="F33" s="1023">
        <v>46</v>
      </c>
      <c r="G33" s="545">
        <v>134</v>
      </c>
      <c r="H33" s="545">
        <v>10</v>
      </c>
      <c r="I33" s="1031">
        <v>42</v>
      </c>
      <c r="J33" s="646">
        <f t="shared" ref="J33:J40" si="4">SUM(F33:I33)</f>
        <v>232</v>
      </c>
      <c r="K33" s="1258"/>
      <c r="L33" s="1258"/>
      <c r="M33" s="1258"/>
      <c r="N33" s="1258"/>
      <c r="O33" s="1258"/>
      <c r="P33" s="1258"/>
      <c r="Q33" s="1258"/>
      <c r="R33" s="1258"/>
      <c r="S33" s="1755"/>
      <c r="T33" s="4"/>
      <c r="U33" s="4"/>
    </row>
    <row r="34" spans="1:21" s="1" customFormat="1" ht="12.75" hidden="1">
      <c r="A34" s="715">
        <v>42401</v>
      </c>
      <c r="B34" s="1834">
        <v>1</v>
      </c>
      <c r="C34" s="1833">
        <v>1</v>
      </c>
      <c r="D34" s="1833">
        <v>0</v>
      </c>
      <c r="E34" s="720">
        <v>0</v>
      </c>
      <c r="F34" s="1023">
        <v>47</v>
      </c>
      <c r="G34" s="545">
        <v>135</v>
      </c>
      <c r="H34" s="545">
        <v>10</v>
      </c>
      <c r="I34" s="1031">
        <v>42</v>
      </c>
      <c r="J34" s="646">
        <f t="shared" si="4"/>
        <v>234</v>
      </c>
      <c r="K34" s="1258"/>
      <c r="L34" s="1258"/>
      <c r="M34" s="1258"/>
      <c r="N34" s="1258"/>
      <c r="O34" s="1258"/>
      <c r="P34" s="1258"/>
      <c r="Q34" s="1258"/>
      <c r="R34" s="1258"/>
      <c r="S34" s="1755"/>
      <c r="T34" s="4"/>
      <c r="U34" s="4"/>
    </row>
    <row r="35" spans="1:21" s="1" customFormat="1" ht="12.75" hidden="1">
      <c r="A35" s="715">
        <v>42430</v>
      </c>
      <c r="B35" s="1834">
        <v>0</v>
      </c>
      <c r="C35" s="1833">
        <v>0</v>
      </c>
      <c r="D35" s="1833">
        <v>0</v>
      </c>
      <c r="E35" s="720">
        <v>0</v>
      </c>
      <c r="F35" s="1023">
        <v>47</v>
      </c>
      <c r="G35" s="545">
        <v>135</v>
      </c>
      <c r="H35" s="545">
        <v>10</v>
      </c>
      <c r="I35" s="1031">
        <v>42</v>
      </c>
      <c r="J35" s="646">
        <f t="shared" si="4"/>
        <v>234</v>
      </c>
      <c r="K35" s="1258"/>
      <c r="L35" s="1258"/>
      <c r="M35" s="1258"/>
      <c r="N35" s="1258"/>
      <c r="O35" s="1258"/>
      <c r="P35" s="1258"/>
      <c r="Q35" s="1258"/>
      <c r="R35" s="1258"/>
      <c r="S35" s="1755"/>
      <c r="T35" s="4"/>
      <c r="U35" s="4"/>
    </row>
    <row r="36" spans="1:21" s="1" customFormat="1" ht="12.75" hidden="1">
      <c r="A36" s="715">
        <v>42461</v>
      </c>
      <c r="B36" s="1834">
        <v>0</v>
      </c>
      <c r="C36" s="1833">
        <v>0</v>
      </c>
      <c r="D36" s="1833">
        <v>0</v>
      </c>
      <c r="E36" s="720">
        <v>0</v>
      </c>
      <c r="F36" s="1023">
        <v>47</v>
      </c>
      <c r="G36" s="545">
        <v>135</v>
      </c>
      <c r="H36" s="545">
        <v>10</v>
      </c>
      <c r="I36" s="1031">
        <v>42</v>
      </c>
      <c r="J36" s="646">
        <f t="shared" si="4"/>
        <v>234</v>
      </c>
      <c r="K36" s="1258"/>
      <c r="L36" s="1258"/>
      <c r="M36" s="1258"/>
      <c r="N36" s="1258"/>
      <c r="O36" s="1258"/>
      <c r="P36" s="1258"/>
      <c r="Q36" s="1258"/>
      <c r="R36" s="1258"/>
      <c r="S36" s="1755"/>
      <c r="T36" s="4"/>
      <c r="U36" s="4"/>
    </row>
    <row r="37" spans="1:21" s="1" customFormat="1" ht="12.75" hidden="1">
      <c r="A37" s="715">
        <v>42491</v>
      </c>
      <c r="B37" s="1834">
        <v>0</v>
      </c>
      <c r="C37" s="1833">
        <v>0</v>
      </c>
      <c r="D37" s="1833">
        <v>0</v>
      </c>
      <c r="E37" s="720">
        <v>0</v>
      </c>
      <c r="F37" s="1023">
        <v>47</v>
      </c>
      <c r="G37" s="545">
        <v>135</v>
      </c>
      <c r="H37" s="545">
        <v>10</v>
      </c>
      <c r="I37" s="1031">
        <v>42</v>
      </c>
      <c r="J37" s="646">
        <f t="shared" si="4"/>
        <v>234</v>
      </c>
      <c r="K37" s="1258"/>
      <c r="L37" s="1258"/>
      <c r="M37" s="1258"/>
      <c r="N37" s="1258"/>
      <c r="O37" s="1258"/>
      <c r="P37" s="1258"/>
      <c r="Q37" s="1258"/>
      <c r="R37" s="1258"/>
      <c r="S37" s="1755"/>
      <c r="T37" s="4"/>
      <c r="U37" s="4"/>
    </row>
    <row r="38" spans="1:21" s="1" customFormat="1" ht="12.75" hidden="1">
      <c r="A38" s="715">
        <v>42522</v>
      </c>
      <c r="B38" s="1834">
        <v>0</v>
      </c>
      <c r="C38" s="1833">
        <v>0</v>
      </c>
      <c r="D38" s="1833">
        <v>0</v>
      </c>
      <c r="E38" s="720">
        <v>0</v>
      </c>
      <c r="F38" s="1023">
        <v>47</v>
      </c>
      <c r="G38" s="545">
        <v>135</v>
      </c>
      <c r="H38" s="545">
        <v>10</v>
      </c>
      <c r="I38" s="1031">
        <v>42</v>
      </c>
      <c r="J38" s="646">
        <f t="shared" si="4"/>
        <v>234</v>
      </c>
      <c r="K38" s="1258"/>
      <c r="L38" s="1258"/>
      <c r="M38" s="1258"/>
      <c r="N38" s="1258"/>
      <c r="O38" s="1258"/>
      <c r="P38" s="1258"/>
      <c r="Q38" s="1258"/>
      <c r="R38" s="1258"/>
      <c r="S38" s="1755"/>
      <c r="T38" s="4"/>
      <c r="U38" s="4"/>
    </row>
    <row r="39" spans="1:21" s="1" customFormat="1" ht="12.75" hidden="1">
      <c r="A39" s="715">
        <v>42552</v>
      </c>
      <c r="B39" s="1834">
        <v>0</v>
      </c>
      <c r="C39" s="1833">
        <v>0</v>
      </c>
      <c r="D39" s="1833">
        <v>0</v>
      </c>
      <c r="E39" s="720">
        <v>0</v>
      </c>
      <c r="F39" s="1023">
        <v>47</v>
      </c>
      <c r="G39" s="545">
        <v>135</v>
      </c>
      <c r="H39" s="545">
        <v>10</v>
      </c>
      <c r="I39" s="1031">
        <v>42</v>
      </c>
      <c r="J39" s="646">
        <f t="shared" si="4"/>
        <v>234</v>
      </c>
      <c r="K39" s="1258"/>
      <c r="L39" s="1258"/>
      <c r="M39" s="1258"/>
      <c r="N39" s="1258"/>
      <c r="O39" s="1258"/>
      <c r="P39" s="1258"/>
      <c r="Q39" s="1258"/>
      <c r="R39" s="1258"/>
      <c r="S39" s="1755"/>
      <c r="T39" s="4"/>
      <c r="U39" s="4"/>
    </row>
    <row r="40" spans="1:21" s="1" customFormat="1" ht="12.75" hidden="1">
      <c r="A40" s="715">
        <v>42583</v>
      </c>
      <c r="B40" s="1834">
        <v>1</v>
      </c>
      <c r="C40" s="1833">
        <v>0</v>
      </c>
      <c r="D40" s="1833">
        <v>0</v>
      </c>
      <c r="E40" s="720">
        <v>0</v>
      </c>
      <c r="F40" s="1023">
        <v>48</v>
      </c>
      <c r="G40" s="545">
        <v>135</v>
      </c>
      <c r="H40" s="545">
        <v>10</v>
      </c>
      <c r="I40" s="1031">
        <v>42</v>
      </c>
      <c r="J40" s="646">
        <f t="shared" si="4"/>
        <v>235</v>
      </c>
      <c r="K40" s="1258"/>
      <c r="L40" s="1258"/>
      <c r="M40" s="1258"/>
      <c r="N40" s="1258"/>
      <c r="O40" s="1258"/>
      <c r="P40" s="1258"/>
      <c r="Q40" s="1258"/>
      <c r="R40" s="1258"/>
      <c r="S40" s="1755"/>
      <c r="T40" s="4"/>
      <c r="U40" s="4"/>
    </row>
    <row r="41" spans="1:21" s="1" customFormat="1" ht="12.75" hidden="1">
      <c r="A41" s="715">
        <v>42614</v>
      </c>
      <c r="B41" s="1834">
        <v>1</v>
      </c>
      <c r="C41" s="1833">
        <v>0</v>
      </c>
      <c r="D41" s="1833">
        <v>0</v>
      </c>
      <c r="E41" s="720">
        <v>0</v>
      </c>
      <c r="F41" s="1023">
        <v>49</v>
      </c>
      <c r="G41" s="545">
        <v>135</v>
      </c>
      <c r="H41" s="545">
        <v>10</v>
      </c>
      <c r="I41" s="1031">
        <v>42</v>
      </c>
      <c r="J41" s="646">
        <f t="shared" ref="J41:J46" si="5">SUM(F41:I41)</f>
        <v>236</v>
      </c>
      <c r="K41" s="1258"/>
      <c r="L41" s="1258"/>
      <c r="M41" s="1258"/>
      <c r="N41" s="1258"/>
      <c r="O41" s="1258"/>
      <c r="P41" s="1258"/>
      <c r="Q41" s="1258"/>
      <c r="R41" s="1258"/>
      <c r="S41" s="1755"/>
      <c r="T41" s="4"/>
      <c r="U41" s="4"/>
    </row>
    <row r="42" spans="1:21" s="1" customFormat="1" ht="12.75" hidden="1">
      <c r="A42" s="715">
        <v>42644</v>
      </c>
      <c r="B42" s="1834">
        <v>0</v>
      </c>
      <c r="C42" s="1833">
        <v>0</v>
      </c>
      <c r="D42" s="1833">
        <v>0</v>
      </c>
      <c r="E42" s="720">
        <v>0</v>
      </c>
      <c r="F42" s="1023">
        <v>49</v>
      </c>
      <c r="G42" s="545">
        <v>135</v>
      </c>
      <c r="H42" s="545">
        <v>10</v>
      </c>
      <c r="I42" s="1031">
        <v>42</v>
      </c>
      <c r="J42" s="646">
        <f t="shared" si="5"/>
        <v>236</v>
      </c>
      <c r="K42" s="1258"/>
      <c r="L42" s="1258"/>
      <c r="M42" s="1258"/>
      <c r="N42" s="1258"/>
      <c r="O42" s="1258"/>
      <c r="P42" s="1258"/>
      <c r="Q42" s="1258"/>
      <c r="R42" s="1258"/>
      <c r="S42" s="1755"/>
      <c r="T42" s="4"/>
      <c r="U42" s="4"/>
    </row>
    <row r="43" spans="1:21" s="1" customFormat="1" ht="12.75" hidden="1">
      <c r="A43" s="715">
        <v>42675</v>
      </c>
      <c r="B43" s="1834">
        <v>1</v>
      </c>
      <c r="C43" s="1833">
        <v>0</v>
      </c>
      <c r="D43" s="1833">
        <v>0</v>
      </c>
      <c r="E43" s="720">
        <v>0</v>
      </c>
      <c r="F43" s="1023">
        <v>50</v>
      </c>
      <c r="G43" s="545">
        <v>135</v>
      </c>
      <c r="H43" s="545">
        <v>10</v>
      </c>
      <c r="I43" s="1031">
        <v>42</v>
      </c>
      <c r="J43" s="646">
        <f t="shared" si="5"/>
        <v>237</v>
      </c>
      <c r="K43" s="1258"/>
      <c r="L43" s="1258"/>
      <c r="M43" s="1258"/>
      <c r="N43" s="1258"/>
      <c r="O43" s="1258"/>
      <c r="P43" s="1258"/>
      <c r="Q43" s="1258"/>
      <c r="R43" s="1258"/>
      <c r="S43" s="1755"/>
      <c r="T43" s="4"/>
      <c r="U43" s="4"/>
    </row>
    <row r="44" spans="1:21" s="1" customFormat="1" ht="12" hidden="1" customHeight="1">
      <c r="A44" s="716">
        <v>42705</v>
      </c>
      <c r="B44" s="600">
        <v>0</v>
      </c>
      <c r="C44" s="1825">
        <v>0</v>
      </c>
      <c r="D44" s="1825">
        <v>0</v>
      </c>
      <c r="E44" s="721">
        <v>0</v>
      </c>
      <c r="F44" s="1024">
        <v>50</v>
      </c>
      <c r="G44" s="598">
        <v>135</v>
      </c>
      <c r="H44" s="598">
        <v>10</v>
      </c>
      <c r="I44" s="1032">
        <v>42</v>
      </c>
      <c r="J44" s="736">
        <f t="shared" si="5"/>
        <v>237</v>
      </c>
      <c r="K44" s="1258"/>
      <c r="L44" s="1258"/>
      <c r="M44" s="1258"/>
      <c r="N44" s="1258"/>
      <c r="O44" s="1258"/>
      <c r="P44" s="1258"/>
      <c r="Q44" s="1258"/>
      <c r="R44" s="1258"/>
      <c r="S44" s="1755"/>
      <c r="T44" s="4"/>
      <c r="U44" s="4"/>
    </row>
    <row r="45" spans="1:21" s="1" customFormat="1" ht="13.5" hidden="1" customHeight="1">
      <c r="A45" s="1021">
        <v>42736</v>
      </c>
      <c r="B45" s="1827">
        <v>0</v>
      </c>
      <c r="C45" s="1828">
        <v>0</v>
      </c>
      <c r="D45" s="1828">
        <v>0</v>
      </c>
      <c r="E45" s="722">
        <v>0</v>
      </c>
      <c r="F45" s="1025">
        <v>50</v>
      </c>
      <c r="G45" s="599">
        <v>135</v>
      </c>
      <c r="H45" s="599">
        <v>10</v>
      </c>
      <c r="I45" s="1033">
        <v>42</v>
      </c>
      <c r="J45" s="645">
        <f t="shared" si="5"/>
        <v>237</v>
      </c>
      <c r="K45" s="1258"/>
      <c r="L45" s="1258"/>
      <c r="M45" s="1258"/>
      <c r="N45" s="1258"/>
      <c r="O45" s="1258"/>
      <c r="P45" s="1258"/>
      <c r="Q45" s="1258"/>
      <c r="R45" s="1258"/>
      <c r="S45" s="1755"/>
      <c r="T45" s="4"/>
      <c r="U45" s="4"/>
    </row>
    <row r="46" spans="1:21" s="1" customFormat="1" ht="13.5" hidden="1" customHeight="1">
      <c r="A46" s="716">
        <v>42767</v>
      </c>
      <c r="B46" s="1834">
        <v>0</v>
      </c>
      <c r="C46" s="1833">
        <v>0</v>
      </c>
      <c r="D46" s="1833">
        <v>0</v>
      </c>
      <c r="E46" s="720">
        <v>0</v>
      </c>
      <c r="F46" s="1023">
        <v>50</v>
      </c>
      <c r="G46" s="545">
        <v>135</v>
      </c>
      <c r="H46" s="545">
        <v>10</v>
      </c>
      <c r="I46" s="1031">
        <v>42</v>
      </c>
      <c r="J46" s="736">
        <f t="shared" si="5"/>
        <v>237</v>
      </c>
      <c r="K46" s="1258"/>
      <c r="L46" s="1258"/>
      <c r="M46" s="1258"/>
      <c r="N46" s="1258"/>
      <c r="O46" s="1258"/>
      <c r="P46" s="1258"/>
      <c r="Q46" s="1258"/>
      <c r="R46" s="1258"/>
      <c r="S46" s="1755"/>
      <c r="T46" s="4"/>
      <c r="U46" s="4"/>
    </row>
    <row r="47" spans="1:21" s="1" customFormat="1" ht="13.5" hidden="1" customHeight="1">
      <c r="A47" s="1021">
        <v>42795</v>
      </c>
      <c r="B47" s="600">
        <v>2</v>
      </c>
      <c r="C47" s="1825">
        <v>0</v>
      </c>
      <c r="D47" s="1825">
        <v>0</v>
      </c>
      <c r="E47" s="721">
        <v>0</v>
      </c>
      <c r="F47" s="1024">
        <v>52</v>
      </c>
      <c r="G47" s="1826">
        <v>135</v>
      </c>
      <c r="H47" s="1826">
        <v>10</v>
      </c>
      <c r="I47" s="1032">
        <v>42</v>
      </c>
      <c r="J47" s="1797">
        <f>SUM(F47:I47)</f>
        <v>239</v>
      </c>
      <c r="K47" s="1258"/>
      <c r="L47" s="1258"/>
      <c r="M47" s="1258"/>
      <c r="N47" s="1258"/>
      <c r="O47" s="1258"/>
      <c r="P47" s="1258"/>
      <c r="Q47" s="1258"/>
      <c r="R47" s="1258"/>
      <c r="S47" s="1755"/>
      <c r="T47" s="4"/>
      <c r="U47" s="4"/>
    </row>
    <row r="48" spans="1:21" s="1" customFormat="1" ht="13.5" hidden="1" customHeight="1">
      <c r="A48" s="715">
        <v>42826</v>
      </c>
      <c r="B48" s="1827">
        <v>0</v>
      </c>
      <c r="C48" s="1828">
        <v>0</v>
      </c>
      <c r="D48" s="1828">
        <v>0</v>
      </c>
      <c r="E48" s="722">
        <v>0</v>
      </c>
      <c r="F48" s="1025">
        <v>52</v>
      </c>
      <c r="G48" s="1829">
        <v>135</v>
      </c>
      <c r="H48" s="1829">
        <v>10</v>
      </c>
      <c r="I48" s="1799">
        <v>42</v>
      </c>
      <c r="J48" s="645">
        <f>SUM(F48:I48)</f>
        <v>239</v>
      </c>
      <c r="K48" s="1258"/>
      <c r="L48" s="1258"/>
      <c r="M48" s="1258"/>
      <c r="N48" s="1258"/>
      <c r="O48" s="1258"/>
      <c r="P48" s="1258"/>
      <c r="Q48" s="1258"/>
      <c r="R48" s="1258"/>
      <c r="S48" s="1755"/>
      <c r="T48" s="4"/>
      <c r="U48" s="4"/>
    </row>
    <row r="49" spans="1:21" s="1" customFormat="1" ht="13.5" hidden="1" customHeight="1">
      <c r="A49" s="715">
        <v>42856</v>
      </c>
      <c r="B49" s="1834">
        <v>1</v>
      </c>
      <c r="C49" s="1833">
        <v>0</v>
      </c>
      <c r="D49" s="1833">
        <v>0</v>
      </c>
      <c r="E49" s="720">
        <v>0</v>
      </c>
      <c r="F49" s="1023">
        <v>53</v>
      </c>
      <c r="G49" s="1824">
        <v>135</v>
      </c>
      <c r="H49" s="1824">
        <v>10</v>
      </c>
      <c r="I49" s="1804">
        <v>42</v>
      </c>
      <c r="J49" s="646">
        <f t="shared" ref="J49:J55" si="6">SUM(F49:I49)</f>
        <v>240</v>
      </c>
      <c r="K49" s="1258"/>
      <c r="L49" s="1258"/>
      <c r="M49" s="1258"/>
      <c r="N49" s="1258"/>
      <c r="O49" s="1258"/>
      <c r="P49" s="1258"/>
      <c r="Q49" s="1258"/>
      <c r="R49" s="1258"/>
      <c r="S49" s="1755"/>
      <c r="T49" s="4"/>
      <c r="U49" s="4"/>
    </row>
    <row r="50" spans="1:21" s="1" customFormat="1" ht="13.5" hidden="1" customHeight="1">
      <c r="A50" s="715">
        <v>42887</v>
      </c>
      <c r="B50" s="1834">
        <v>0</v>
      </c>
      <c r="C50" s="1833">
        <v>0</v>
      </c>
      <c r="D50" s="1833">
        <v>0</v>
      </c>
      <c r="E50" s="720">
        <v>0</v>
      </c>
      <c r="F50" s="1023">
        <v>53</v>
      </c>
      <c r="G50" s="1824">
        <v>135</v>
      </c>
      <c r="H50" s="1824">
        <v>10</v>
      </c>
      <c r="I50" s="1804">
        <v>42</v>
      </c>
      <c r="J50" s="646">
        <f t="shared" si="6"/>
        <v>240</v>
      </c>
      <c r="K50" s="1258"/>
      <c r="L50" s="1258"/>
      <c r="M50" s="1258"/>
      <c r="N50" s="1258"/>
      <c r="O50" s="1258"/>
      <c r="P50" s="1258"/>
      <c r="Q50" s="1258"/>
      <c r="R50" s="1258"/>
      <c r="S50" s="1755"/>
      <c r="T50" s="4"/>
    </row>
    <row r="51" spans="1:21" s="1" customFormat="1" ht="13.5" hidden="1" customHeight="1">
      <c r="A51" s="715">
        <v>42917</v>
      </c>
      <c r="B51" s="1834">
        <v>0</v>
      </c>
      <c r="C51" s="1833">
        <v>0</v>
      </c>
      <c r="D51" s="1833">
        <v>0</v>
      </c>
      <c r="E51" s="720">
        <v>0</v>
      </c>
      <c r="F51" s="1023">
        <v>53</v>
      </c>
      <c r="G51" s="1824">
        <v>135</v>
      </c>
      <c r="H51" s="1824">
        <v>10</v>
      </c>
      <c r="I51" s="1804">
        <v>42</v>
      </c>
      <c r="J51" s="646">
        <f t="shared" si="6"/>
        <v>240</v>
      </c>
      <c r="K51" s="1258"/>
      <c r="L51" s="1258"/>
      <c r="M51" s="1258"/>
      <c r="N51" s="1258"/>
      <c r="O51" s="1258"/>
      <c r="P51" s="1258"/>
      <c r="Q51" s="1258"/>
      <c r="R51" s="1258"/>
      <c r="S51" s="1755"/>
      <c r="T51" s="4"/>
      <c r="U51" s="4"/>
    </row>
    <row r="52" spans="1:21" s="1" customFormat="1" ht="13.5" hidden="1" customHeight="1">
      <c r="A52" s="715">
        <v>42948</v>
      </c>
      <c r="B52" s="1834">
        <v>0</v>
      </c>
      <c r="C52" s="1833">
        <v>0</v>
      </c>
      <c r="D52" s="1833">
        <v>0</v>
      </c>
      <c r="E52" s="720">
        <v>0</v>
      </c>
      <c r="F52" s="1023">
        <v>53</v>
      </c>
      <c r="G52" s="1824">
        <v>135</v>
      </c>
      <c r="H52" s="1824">
        <v>10</v>
      </c>
      <c r="I52" s="1804">
        <v>42</v>
      </c>
      <c r="J52" s="646">
        <f t="shared" si="6"/>
        <v>240</v>
      </c>
      <c r="K52" s="1258"/>
      <c r="L52" s="1258"/>
      <c r="M52" s="1258"/>
      <c r="N52" s="1258"/>
      <c r="O52" s="1258"/>
      <c r="P52" s="1258"/>
      <c r="Q52" s="1258"/>
      <c r="R52" s="1258"/>
      <c r="S52" s="1755"/>
      <c r="T52" s="4"/>
      <c r="U52" s="4"/>
    </row>
    <row r="53" spans="1:21" s="1" customFormat="1" ht="13.5" customHeight="1">
      <c r="A53" s="715">
        <v>42979</v>
      </c>
      <c r="B53" s="1834">
        <v>0</v>
      </c>
      <c r="C53" s="1833">
        <v>0</v>
      </c>
      <c r="D53" s="1833">
        <v>1</v>
      </c>
      <c r="E53" s="720">
        <v>0</v>
      </c>
      <c r="F53" s="1023">
        <v>53</v>
      </c>
      <c r="G53" s="1824">
        <v>135</v>
      </c>
      <c r="H53" s="1824">
        <v>11</v>
      </c>
      <c r="I53" s="1804">
        <v>42</v>
      </c>
      <c r="J53" s="646">
        <f t="shared" si="6"/>
        <v>241</v>
      </c>
      <c r="K53" s="1258"/>
      <c r="L53" s="1258"/>
      <c r="M53" s="1258"/>
      <c r="N53" s="1258"/>
      <c r="O53" s="1258"/>
      <c r="P53" s="1258"/>
      <c r="Q53" s="1258"/>
      <c r="R53" s="1258"/>
      <c r="S53" s="1755"/>
      <c r="T53" s="4"/>
      <c r="U53" s="4"/>
    </row>
    <row r="54" spans="1:21" s="1" customFormat="1" ht="13.5" customHeight="1">
      <c r="A54" s="715">
        <v>43009</v>
      </c>
      <c r="B54" s="1834">
        <v>0</v>
      </c>
      <c r="C54" s="1833">
        <v>2</v>
      </c>
      <c r="D54" s="1833">
        <v>1</v>
      </c>
      <c r="E54" s="720">
        <v>0</v>
      </c>
      <c r="F54" s="1023">
        <v>53</v>
      </c>
      <c r="G54" s="1824">
        <v>137</v>
      </c>
      <c r="H54" s="1824">
        <v>12</v>
      </c>
      <c r="I54" s="1804">
        <v>42</v>
      </c>
      <c r="J54" s="646">
        <f t="shared" si="6"/>
        <v>244</v>
      </c>
      <c r="K54" s="1258"/>
      <c r="L54" s="1258"/>
      <c r="M54" s="1258"/>
      <c r="N54" s="1258"/>
      <c r="O54" s="1258"/>
      <c r="P54" s="1258"/>
      <c r="Q54" s="1258"/>
      <c r="R54" s="1258"/>
      <c r="S54" s="1755"/>
      <c r="T54" s="4"/>
      <c r="U54" s="4"/>
    </row>
    <row r="55" spans="1:21" s="1257" customFormat="1" ht="13.5" customHeight="1">
      <c r="A55" s="715">
        <v>43040</v>
      </c>
      <c r="B55" s="1834">
        <v>0</v>
      </c>
      <c r="C55" s="1833">
        <v>3</v>
      </c>
      <c r="D55" s="1833">
        <v>0</v>
      </c>
      <c r="E55" s="720">
        <v>0</v>
      </c>
      <c r="F55" s="1023">
        <v>53</v>
      </c>
      <c r="G55" s="1824">
        <v>140</v>
      </c>
      <c r="H55" s="1824">
        <v>12</v>
      </c>
      <c r="I55" s="1804">
        <v>42</v>
      </c>
      <c r="J55" s="646">
        <f t="shared" si="6"/>
        <v>247</v>
      </c>
      <c r="K55" s="1258"/>
      <c r="L55" s="1258"/>
      <c r="M55" s="1258"/>
      <c r="N55" s="1258"/>
      <c r="O55" s="1258"/>
      <c r="P55" s="1258"/>
      <c r="Q55" s="1258"/>
      <c r="R55" s="1258"/>
      <c r="S55" s="1755"/>
      <c r="T55" s="1258"/>
      <c r="U55" s="1258"/>
    </row>
    <row r="56" spans="1:21" s="1257" customFormat="1" ht="13.5" customHeight="1">
      <c r="A56" s="715">
        <v>43070</v>
      </c>
      <c r="B56" s="1834">
        <v>2</v>
      </c>
      <c r="C56" s="1833">
        <v>4</v>
      </c>
      <c r="D56" s="1833">
        <v>0</v>
      </c>
      <c r="E56" s="720">
        <v>0</v>
      </c>
      <c r="F56" s="1023">
        <v>55</v>
      </c>
      <c r="G56" s="1824">
        <v>144</v>
      </c>
      <c r="H56" s="1824">
        <v>12</v>
      </c>
      <c r="I56" s="1804">
        <v>42</v>
      </c>
      <c r="J56" s="646">
        <f t="shared" ref="J56:J60" si="7">SUM(F56:I56)</f>
        <v>253</v>
      </c>
      <c r="K56" s="1258"/>
      <c r="L56" s="1258"/>
      <c r="M56" s="1258"/>
      <c r="N56" s="1258"/>
      <c r="O56" s="1258"/>
      <c r="P56" s="1258"/>
      <c r="Q56" s="1258"/>
      <c r="R56" s="1258"/>
      <c r="S56" s="1755"/>
      <c r="T56" s="1258"/>
      <c r="U56" s="1258"/>
    </row>
    <row r="57" spans="1:21" s="1257" customFormat="1" ht="13.5" customHeight="1">
      <c r="A57" s="715">
        <v>43101</v>
      </c>
      <c r="B57" s="1834">
        <v>0</v>
      </c>
      <c r="C57" s="1833">
        <v>2</v>
      </c>
      <c r="D57" s="1833">
        <v>1</v>
      </c>
      <c r="E57" s="720">
        <v>0</v>
      </c>
      <c r="F57" s="1023">
        <v>55</v>
      </c>
      <c r="G57" s="1824">
        <v>146</v>
      </c>
      <c r="H57" s="1824">
        <v>13</v>
      </c>
      <c r="I57" s="1804">
        <v>42</v>
      </c>
      <c r="J57" s="646">
        <f t="shared" si="7"/>
        <v>256</v>
      </c>
      <c r="K57" s="1258"/>
      <c r="L57" s="1258"/>
      <c r="M57" s="1258"/>
      <c r="N57" s="1258"/>
      <c r="O57" s="1258"/>
      <c r="P57" s="1258"/>
      <c r="Q57" s="1258"/>
      <c r="R57" s="1258"/>
      <c r="S57" s="1755"/>
      <c r="T57" s="1258"/>
      <c r="U57" s="1258"/>
    </row>
    <row r="58" spans="1:21" s="1" customFormat="1" ht="13.5" customHeight="1">
      <c r="A58" s="715">
        <v>43132</v>
      </c>
      <c r="B58" s="1834">
        <v>0</v>
      </c>
      <c r="C58" s="1833">
        <v>5</v>
      </c>
      <c r="D58" s="1833">
        <v>2</v>
      </c>
      <c r="E58" s="720">
        <v>0</v>
      </c>
      <c r="F58" s="1023">
        <v>55</v>
      </c>
      <c r="G58" s="1824">
        <v>151</v>
      </c>
      <c r="H58" s="1824">
        <v>15</v>
      </c>
      <c r="I58" s="1804">
        <v>42</v>
      </c>
      <c r="J58" s="646">
        <f t="shared" si="7"/>
        <v>263</v>
      </c>
      <c r="K58" s="1258"/>
      <c r="L58" s="1258"/>
      <c r="M58" s="1258"/>
      <c r="N58" s="1258"/>
      <c r="O58" s="1258"/>
      <c r="P58" s="1258"/>
      <c r="Q58" s="1258"/>
      <c r="R58" s="1258"/>
      <c r="S58" s="1755"/>
      <c r="T58" s="4"/>
      <c r="U58" s="4"/>
    </row>
    <row r="59" spans="1:21" s="1257" customFormat="1" ht="13.5" customHeight="1" thickBot="1">
      <c r="A59" s="715">
        <v>43160</v>
      </c>
      <c r="B59" s="1834">
        <v>1</v>
      </c>
      <c r="C59" s="1833">
        <v>4</v>
      </c>
      <c r="D59" s="1833">
        <v>1</v>
      </c>
      <c r="E59" s="720">
        <v>0</v>
      </c>
      <c r="F59" s="1023">
        <v>56</v>
      </c>
      <c r="G59" s="1824">
        <v>155</v>
      </c>
      <c r="H59" s="1824">
        <v>16</v>
      </c>
      <c r="I59" s="1804">
        <v>42</v>
      </c>
      <c r="J59" s="646">
        <f t="shared" si="7"/>
        <v>269</v>
      </c>
      <c r="K59" s="1830"/>
      <c r="L59" s="1830"/>
      <c r="M59" s="1830"/>
      <c r="N59" s="1343"/>
      <c r="O59" s="1343"/>
      <c r="P59" s="1343"/>
      <c r="Q59" s="1343"/>
      <c r="R59" s="1343"/>
      <c r="S59" s="1830"/>
      <c r="T59" s="1258"/>
      <c r="U59" s="1258"/>
    </row>
    <row r="60" spans="1:21" s="1817" customFormat="1" ht="13.5" customHeight="1">
      <c r="A60" s="715">
        <v>43191</v>
      </c>
      <c r="B60" s="1834">
        <v>0</v>
      </c>
      <c r="C60" s="1833">
        <v>3</v>
      </c>
      <c r="D60" s="1833">
        <v>0</v>
      </c>
      <c r="E60" s="720">
        <v>0</v>
      </c>
      <c r="F60" s="1023">
        <v>56</v>
      </c>
      <c r="G60" s="1824">
        <v>158</v>
      </c>
      <c r="H60" s="1824">
        <v>16</v>
      </c>
      <c r="I60" s="1804">
        <v>42</v>
      </c>
      <c r="J60" s="646">
        <f t="shared" si="7"/>
        <v>272</v>
      </c>
      <c r="K60" s="1818"/>
      <c r="L60" s="1818"/>
      <c r="M60" s="1818"/>
      <c r="N60" s="1818"/>
      <c r="O60" s="1818"/>
      <c r="P60" s="1818"/>
      <c r="Q60" s="1818"/>
      <c r="R60" s="1818"/>
      <c r="S60" s="1818"/>
      <c r="T60" s="1818"/>
      <c r="U60" s="1818"/>
    </row>
    <row r="61" spans="1:21" s="2638" customFormat="1" ht="13.5" customHeight="1">
      <c r="A61" s="716">
        <v>43221</v>
      </c>
      <c r="B61" s="600">
        <v>2</v>
      </c>
      <c r="C61" s="1825">
        <v>0</v>
      </c>
      <c r="D61" s="1825">
        <v>5</v>
      </c>
      <c r="E61" s="721">
        <v>1</v>
      </c>
      <c r="F61" s="1024">
        <v>58</v>
      </c>
      <c r="G61" s="1826">
        <v>158</v>
      </c>
      <c r="H61" s="1826">
        <v>21</v>
      </c>
      <c r="I61" s="2742">
        <v>43</v>
      </c>
      <c r="J61" s="646">
        <v>280</v>
      </c>
      <c r="K61" s="2639"/>
      <c r="L61" s="2639"/>
      <c r="M61" s="2639"/>
      <c r="N61" s="2639"/>
      <c r="O61" s="2639"/>
      <c r="P61" s="2639"/>
      <c r="Q61" s="2639"/>
      <c r="R61" s="2639"/>
      <c r="S61" s="2639"/>
      <c r="T61" s="2639"/>
      <c r="U61" s="2639"/>
    </row>
    <row r="62" spans="1:21" s="2638" customFormat="1" ht="13.5" customHeight="1">
      <c r="A62" s="715">
        <v>43252</v>
      </c>
      <c r="B62" s="600"/>
      <c r="C62" s="1825"/>
      <c r="D62" s="1825"/>
      <c r="E62" s="721"/>
      <c r="F62" s="1024"/>
      <c r="G62" s="1826"/>
      <c r="H62" s="1826"/>
      <c r="I62" s="2742"/>
      <c r="J62" s="646"/>
      <c r="K62" s="2639"/>
      <c r="L62" s="2639"/>
      <c r="M62" s="2639"/>
      <c r="N62" s="2639"/>
      <c r="O62" s="2639"/>
      <c r="P62" s="2639"/>
      <c r="Q62" s="2639"/>
      <c r="R62" s="2639"/>
      <c r="S62" s="2639"/>
      <c r="T62" s="2639"/>
      <c r="U62" s="2639"/>
    </row>
    <row r="63" spans="1:21" s="2638" customFormat="1" ht="13.5" customHeight="1">
      <c r="A63" s="715">
        <v>43282</v>
      </c>
      <c r="B63" s="600"/>
      <c r="C63" s="1825"/>
      <c r="D63" s="1825"/>
      <c r="E63" s="721"/>
      <c r="F63" s="1024"/>
      <c r="G63" s="1826"/>
      <c r="H63" s="1826"/>
      <c r="I63" s="2742"/>
      <c r="J63" s="646"/>
      <c r="K63" s="2639"/>
      <c r="L63" s="2639"/>
      <c r="M63" s="2639"/>
      <c r="N63" s="2639"/>
      <c r="O63" s="2639"/>
      <c r="P63" s="2639"/>
      <c r="Q63" s="2639"/>
      <c r="R63" s="2639"/>
      <c r="S63" s="2639"/>
      <c r="T63" s="2639"/>
      <c r="U63" s="2639"/>
    </row>
    <row r="64" spans="1:21" s="1820" customFormat="1" ht="13.5" customHeight="1" thickBot="1">
      <c r="A64" s="715">
        <v>43313</v>
      </c>
      <c r="B64" s="1823"/>
      <c r="C64" s="1822"/>
      <c r="D64" s="1822"/>
      <c r="E64" s="1819"/>
      <c r="F64" s="2486"/>
      <c r="G64" s="1805"/>
      <c r="H64" s="1805"/>
      <c r="I64" s="1802"/>
      <c r="J64" s="646"/>
      <c r="K64" s="1830"/>
      <c r="L64" s="1830"/>
      <c r="M64" s="1830"/>
      <c r="N64" s="1830"/>
      <c r="O64" s="1830"/>
      <c r="P64" s="1830"/>
      <c r="Q64" s="1830"/>
      <c r="R64" s="1830"/>
      <c r="S64" s="1830"/>
      <c r="T64" s="1830"/>
      <c r="U64" s="1830"/>
    </row>
    <row r="65" spans="1:21" s="1" customFormat="1" ht="19.5" customHeight="1">
      <c r="A65" s="548"/>
      <c r="B65" s="1258"/>
      <c r="C65" s="549"/>
      <c r="D65" s="549"/>
      <c r="E65" s="549"/>
      <c r="F65" s="122"/>
      <c r="G65" s="122"/>
      <c r="H65" s="122"/>
      <c r="I65" s="122"/>
      <c r="J65" s="122"/>
      <c r="K65" s="122"/>
      <c r="L65" s="122"/>
      <c r="M65" s="27"/>
      <c r="N65" s="1258"/>
      <c r="O65" s="1258"/>
      <c r="P65" s="1258"/>
      <c r="Q65" s="1258"/>
      <c r="R65" s="1258"/>
      <c r="S65" s="1258"/>
      <c r="T65" s="4"/>
      <c r="U65" s="4"/>
    </row>
    <row r="66" spans="1:21" s="1257" customFormat="1" ht="19.5" customHeight="1" thickBot="1">
      <c r="A66" s="548"/>
      <c r="B66" s="1258"/>
      <c r="C66" s="549"/>
      <c r="D66" s="549"/>
      <c r="E66" s="549"/>
      <c r="F66" s="122"/>
      <c r="G66" s="122"/>
      <c r="H66" s="122"/>
      <c r="I66" s="122"/>
      <c r="J66" s="122"/>
      <c r="K66" s="122"/>
      <c r="L66" s="122"/>
      <c r="M66" s="27"/>
      <c r="N66" s="1258"/>
      <c r="O66" s="1258"/>
      <c r="P66" s="1258"/>
      <c r="Q66" s="1258"/>
      <c r="R66" s="1258"/>
      <c r="S66" s="813"/>
      <c r="T66" s="1258"/>
      <c r="U66" s="1258"/>
    </row>
    <row r="67" spans="1:21" s="1" customFormat="1" ht="19.5" customHeight="1" thickBot="1">
      <c r="A67" s="3654" t="s">
        <v>496</v>
      </c>
      <c r="B67" s="3655"/>
      <c r="C67" s="3655"/>
      <c r="D67" s="3655"/>
      <c r="E67" s="3655"/>
      <c r="F67" s="3655"/>
      <c r="G67" s="3655"/>
      <c r="H67" s="3655"/>
      <c r="I67" s="3655"/>
      <c r="J67" s="3655"/>
      <c r="K67" s="3655"/>
      <c r="L67" s="3655"/>
      <c r="M67" s="3655"/>
      <c r="N67" s="3655"/>
      <c r="O67" s="3655"/>
      <c r="P67" s="3656"/>
      <c r="Q67" s="1258"/>
      <c r="R67" s="1258"/>
      <c r="S67" s="1258"/>
      <c r="T67" s="4"/>
      <c r="U67" s="4"/>
    </row>
    <row r="68" spans="1:21" s="1" customFormat="1" ht="43.5" customHeight="1">
      <c r="A68" s="1756"/>
      <c r="B68" s="3657" t="s">
        <v>466</v>
      </c>
      <c r="C68" s="3658"/>
      <c r="D68" s="3658"/>
      <c r="E68" s="3659"/>
      <c r="F68" s="3657" t="s">
        <v>505</v>
      </c>
      <c r="G68" s="3658"/>
      <c r="H68" s="3658"/>
      <c r="I68" s="3659"/>
      <c r="J68" s="3657" t="s">
        <v>504</v>
      </c>
      <c r="K68" s="3658"/>
      <c r="L68" s="3658"/>
      <c r="M68" s="3659"/>
      <c r="N68" s="3660" t="s">
        <v>461</v>
      </c>
      <c r="O68" s="3658"/>
      <c r="P68" s="3659"/>
      <c r="Q68" s="1258"/>
      <c r="R68" s="1258"/>
      <c r="S68" s="1258"/>
      <c r="T68" s="4"/>
      <c r="U68" s="4"/>
    </row>
    <row r="69" spans="1:21" s="1" customFormat="1" ht="19.5" customHeight="1">
      <c r="A69" s="3667" t="s">
        <v>70</v>
      </c>
      <c r="B69" s="3663" t="s">
        <v>200</v>
      </c>
      <c r="C69" s="3664" t="s">
        <v>201</v>
      </c>
      <c r="D69" s="3665" t="s">
        <v>202</v>
      </c>
      <c r="E69" s="3666" t="s">
        <v>457</v>
      </c>
      <c r="F69" s="3663" t="s">
        <v>200</v>
      </c>
      <c r="G69" s="3664" t="s">
        <v>201</v>
      </c>
      <c r="H69" s="3665" t="s">
        <v>202</v>
      </c>
      <c r="I69" s="3666" t="s">
        <v>457</v>
      </c>
      <c r="J69" s="3663" t="s">
        <v>200</v>
      </c>
      <c r="K69" s="3664" t="s">
        <v>201</v>
      </c>
      <c r="L69" s="3665" t="s">
        <v>202</v>
      </c>
      <c r="M69" s="3666" t="s">
        <v>457</v>
      </c>
      <c r="N69" s="3668" t="s">
        <v>499</v>
      </c>
      <c r="O69" s="3639" t="s">
        <v>462</v>
      </c>
      <c r="P69" s="3640" t="s">
        <v>463</v>
      </c>
      <c r="Q69" s="1258"/>
      <c r="R69" s="1258"/>
      <c r="S69" s="1258"/>
      <c r="T69" s="4"/>
    </row>
    <row r="70" spans="1:21" s="1" customFormat="1" ht="24.75" customHeight="1">
      <c r="A70" s="3667"/>
      <c r="B70" s="3663"/>
      <c r="C70" s="3664"/>
      <c r="D70" s="3665"/>
      <c r="E70" s="3666"/>
      <c r="F70" s="3663"/>
      <c r="G70" s="3664"/>
      <c r="H70" s="3665"/>
      <c r="I70" s="3666"/>
      <c r="J70" s="3663"/>
      <c r="K70" s="3664"/>
      <c r="L70" s="3665"/>
      <c r="M70" s="3666"/>
      <c r="N70" s="3668"/>
      <c r="O70" s="3639"/>
      <c r="P70" s="3640"/>
      <c r="Q70" s="1258"/>
      <c r="R70" s="1258"/>
      <c r="S70" s="1258"/>
      <c r="T70" s="4"/>
      <c r="U70" s="4"/>
    </row>
    <row r="71" spans="1:21" s="1" customFormat="1" ht="19.5" hidden="1" customHeight="1">
      <c r="A71" s="1347">
        <v>41852</v>
      </c>
      <c r="B71" s="1834">
        <v>0</v>
      </c>
      <c r="C71" s="1833">
        <v>0</v>
      </c>
      <c r="D71" s="1833">
        <v>0</v>
      </c>
      <c r="E71" s="720">
        <v>0</v>
      </c>
      <c r="F71" s="1832">
        <v>0</v>
      </c>
      <c r="G71" s="1835">
        <v>0</v>
      </c>
      <c r="H71" s="1835">
        <v>0</v>
      </c>
      <c r="I71" s="1757">
        <v>0</v>
      </c>
      <c r="J71" s="724">
        <v>0</v>
      </c>
      <c r="K71" s="1836">
        <v>0</v>
      </c>
      <c r="L71" s="1837">
        <v>0</v>
      </c>
      <c r="M71" s="521">
        <v>0</v>
      </c>
      <c r="N71" s="2485">
        <f t="shared" ref="N71:N83" si="8">B71+C71+D71+E71</f>
        <v>0</v>
      </c>
      <c r="O71" s="546">
        <f>F71+G71+H71</f>
        <v>0</v>
      </c>
      <c r="P71" s="554">
        <f>J71+K71+L71+M71</f>
        <v>0</v>
      </c>
      <c r="Q71" s="1258"/>
      <c r="R71" s="1258"/>
      <c r="S71" s="1258"/>
      <c r="T71" s="4"/>
      <c r="U71" s="4"/>
    </row>
    <row r="72" spans="1:21" s="1" customFormat="1" ht="19.5" hidden="1" customHeight="1">
      <c r="A72" s="1347">
        <v>41883</v>
      </c>
      <c r="B72" s="1834">
        <v>0</v>
      </c>
      <c r="C72" s="1833">
        <v>0</v>
      </c>
      <c r="D72" s="1833">
        <v>0</v>
      </c>
      <c r="E72" s="720">
        <v>0</v>
      </c>
      <c r="F72" s="1832">
        <v>0</v>
      </c>
      <c r="G72" s="1835">
        <v>0</v>
      </c>
      <c r="H72" s="1835">
        <v>0</v>
      </c>
      <c r="I72" s="1757">
        <v>0</v>
      </c>
      <c r="J72" s="724">
        <v>0</v>
      </c>
      <c r="K72" s="1836">
        <v>0</v>
      </c>
      <c r="L72" s="1837">
        <v>0</v>
      </c>
      <c r="M72" s="521">
        <v>0</v>
      </c>
      <c r="N72" s="2485">
        <f t="shared" si="8"/>
        <v>0</v>
      </c>
      <c r="O72" s="546">
        <f t="shared" ref="O72:O83" si="9">F72+G72+H72</f>
        <v>0</v>
      </c>
      <c r="P72" s="554">
        <f t="shared" ref="P72:P83" si="10">J72+K72+L72+M72</f>
        <v>0</v>
      </c>
      <c r="Q72" s="1258"/>
      <c r="R72" s="1258"/>
      <c r="S72" s="1258"/>
      <c r="T72" s="4"/>
      <c r="U72" s="4"/>
    </row>
    <row r="73" spans="1:21" s="1" customFormat="1" ht="19.5" hidden="1" customHeight="1">
      <c r="A73" s="1347">
        <v>41913</v>
      </c>
      <c r="B73" s="1834">
        <v>0</v>
      </c>
      <c r="C73" s="1833">
        <v>0</v>
      </c>
      <c r="D73" s="1833">
        <v>0</v>
      </c>
      <c r="E73" s="720">
        <v>0</v>
      </c>
      <c r="F73" s="1832">
        <v>0</v>
      </c>
      <c r="G73" s="1835">
        <v>0</v>
      </c>
      <c r="H73" s="1835">
        <v>0</v>
      </c>
      <c r="I73" s="1757">
        <v>0</v>
      </c>
      <c r="J73" s="724">
        <v>0</v>
      </c>
      <c r="K73" s="1836">
        <v>0</v>
      </c>
      <c r="L73" s="1837">
        <v>0</v>
      </c>
      <c r="M73" s="521">
        <v>0</v>
      </c>
      <c r="N73" s="2485">
        <f t="shared" si="8"/>
        <v>0</v>
      </c>
      <c r="O73" s="546">
        <f t="shared" si="9"/>
        <v>0</v>
      </c>
      <c r="P73" s="554">
        <f t="shared" si="10"/>
        <v>0</v>
      </c>
      <c r="Q73" s="1258"/>
      <c r="R73" s="1258"/>
      <c r="S73" s="1258"/>
      <c r="T73" s="4"/>
      <c r="U73" s="4"/>
    </row>
    <row r="74" spans="1:21" s="1" customFormat="1" ht="19.5" hidden="1" customHeight="1">
      <c r="A74" s="1347">
        <v>41944</v>
      </c>
      <c r="B74" s="1834">
        <v>0</v>
      </c>
      <c r="C74" s="1833">
        <v>0</v>
      </c>
      <c r="D74" s="1833">
        <v>0</v>
      </c>
      <c r="E74" s="720">
        <v>0</v>
      </c>
      <c r="F74" s="1832">
        <v>0</v>
      </c>
      <c r="G74" s="1835">
        <v>0</v>
      </c>
      <c r="H74" s="1835">
        <v>0</v>
      </c>
      <c r="I74" s="1757">
        <v>0</v>
      </c>
      <c r="J74" s="724">
        <v>0</v>
      </c>
      <c r="K74" s="1836">
        <v>0</v>
      </c>
      <c r="L74" s="1837">
        <v>0</v>
      </c>
      <c r="M74" s="521">
        <v>0</v>
      </c>
      <c r="N74" s="2485">
        <f t="shared" si="8"/>
        <v>0</v>
      </c>
      <c r="O74" s="546">
        <f t="shared" si="9"/>
        <v>0</v>
      </c>
      <c r="P74" s="554">
        <f t="shared" si="10"/>
        <v>0</v>
      </c>
      <c r="Q74" s="1258"/>
      <c r="R74" s="1258"/>
      <c r="S74" s="1258"/>
      <c r="T74" s="4"/>
      <c r="U74" s="4"/>
    </row>
    <row r="75" spans="1:21" s="1" customFormat="1" ht="19.5" hidden="1" customHeight="1">
      <c r="A75" s="1347">
        <v>41974</v>
      </c>
      <c r="B75" s="1834">
        <v>3</v>
      </c>
      <c r="C75" s="1833">
        <v>0</v>
      </c>
      <c r="D75" s="1833">
        <v>0</v>
      </c>
      <c r="E75" s="720">
        <v>0</v>
      </c>
      <c r="F75" s="1832">
        <v>0</v>
      </c>
      <c r="G75" s="1835">
        <v>0</v>
      </c>
      <c r="H75" s="1835">
        <v>0</v>
      </c>
      <c r="I75" s="1757">
        <v>0</v>
      </c>
      <c r="J75" s="724">
        <v>0</v>
      </c>
      <c r="K75" s="1836">
        <v>0</v>
      </c>
      <c r="L75" s="1837">
        <v>0</v>
      </c>
      <c r="M75" s="521">
        <v>0</v>
      </c>
      <c r="N75" s="2485">
        <f t="shared" si="8"/>
        <v>3</v>
      </c>
      <c r="O75" s="546">
        <f t="shared" si="9"/>
        <v>0</v>
      </c>
      <c r="P75" s="554">
        <f t="shared" si="10"/>
        <v>0</v>
      </c>
      <c r="Q75" s="1258"/>
      <c r="R75" s="1258"/>
      <c r="S75" s="1258"/>
      <c r="T75" s="4"/>
      <c r="U75" s="4"/>
    </row>
    <row r="76" spans="1:21" s="1" customFormat="1" ht="19.5" hidden="1" customHeight="1">
      <c r="A76" s="749">
        <v>42005</v>
      </c>
      <c r="B76" s="1834">
        <v>3</v>
      </c>
      <c r="C76" s="1833">
        <v>3</v>
      </c>
      <c r="D76" s="1833">
        <v>0</v>
      </c>
      <c r="E76" s="720">
        <v>38</v>
      </c>
      <c r="F76" s="1832">
        <v>0</v>
      </c>
      <c r="G76" s="1835">
        <v>0</v>
      </c>
      <c r="H76" s="1835">
        <v>0</v>
      </c>
      <c r="I76" s="1757">
        <v>0</v>
      </c>
      <c r="J76" s="724">
        <v>0</v>
      </c>
      <c r="K76" s="1836">
        <v>0</v>
      </c>
      <c r="L76" s="1837">
        <v>0</v>
      </c>
      <c r="M76" s="521">
        <v>0</v>
      </c>
      <c r="N76" s="2485">
        <f t="shared" si="8"/>
        <v>44</v>
      </c>
      <c r="O76" s="546">
        <f t="shared" si="9"/>
        <v>0</v>
      </c>
      <c r="P76" s="554">
        <f t="shared" si="10"/>
        <v>0</v>
      </c>
      <c r="Q76" s="1258"/>
      <c r="R76" s="1258"/>
      <c r="S76" s="1258"/>
      <c r="T76" s="4"/>
      <c r="U76" s="4"/>
    </row>
    <row r="77" spans="1:21" s="1" customFormat="1" ht="18.75" hidden="1" customHeight="1">
      <c r="A77" s="749">
        <v>42036</v>
      </c>
      <c r="B77" s="1834">
        <v>3</v>
      </c>
      <c r="C77" s="1833">
        <v>15</v>
      </c>
      <c r="D77" s="1833">
        <v>3</v>
      </c>
      <c r="E77" s="720">
        <v>38</v>
      </c>
      <c r="F77" s="1832">
        <v>0</v>
      </c>
      <c r="G77" s="1835">
        <v>0</v>
      </c>
      <c r="H77" s="1835">
        <v>0</v>
      </c>
      <c r="I77" s="1757">
        <v>0</v>
      </c>
      <c r="J77" s="724">
        <v>0</v>
      </c>
      <c r="K77" s="1836">
        <v>0</v>
      </c>
      <c r="L77" s="1837">
        <v>0</v>
      </c>
      <c r="M77" s="521">
        <v>0</v>
      </c>
      <c r="N77" s="2485">
        <f t="shared" si="8"/>
        <v>59</v>
      </c>
      <c r="O77" s="546">
        <f t="shared" si="9"/>
        <v>0</v>
      </c>
      <c r="P77" s="554">
        <f>J77+K77+L77+M77</f>
        <v>0</v>
      </c>
      <c r="Q77" s="1258"/>
      <c r="R77" s="1258"/>
      <c r="S77" s="1258"/>
      <c r="T77" s="4"/>
      <c r="U77" s="4"/>
    </row>
    <row r="78" spans="1:21" s="1" customFormat="1" ht="19.5" hidden="1" customHeight="1">
      <c r="A78" s="749">
        <v>42064</v>
      </c>
      <c r="B78" s="1834">
        <v>3</v>
      </c>
      <c r="C78" s="1833">
        <v>21</v>
      </c>
      <c r="D78" s="1833">
        <v>3</v>
      </c>
      <c r="E78" s="720">
        <v>40</v>
      </c>
      <c r="F78" s="1832">
        <v>0</v>
      </c>
      <c r="G78" s="1835">
        <v>2</v>
      </c>
      <c r="H78" s="1835">
        <v>0</v>
      </c>
      <c r="I78" s="1757">
        <v>0</v>
      </c>
      <c r="J78" s="724">
        <v>0</v>
      </c>
      <c r="K78" s="1836">
        <v>0</v>
      </c>
      <c r="L78" s="1837">
        <v>0</v>
      </c>
      <c r="M78" s="521">
        <v>0</v>
      </c>
      <c r="N78" s="2485">
        <f t="shared" si="8"/>
        <v>67</v>
      </c>
      <c r="O78" s="546">
        <f t="shared" si="9"/>
        <v>2</v>
      </c>
      <c r="P78" s="554">
        <f t="shared" si="10"/>
        <v>0</v>
      </c>
      <c r="Q78" s="1258"/>
      <c r="R78" s="1258"/>
      <c r="S78" s="1258"/>
      <c r="T78" s="4"/>
      <c r="U78" s="4"/>
    </row>
    <row r="79" spans="1:21" s="1" customFormat="1" ht="19.5" hidden="1" customHeight="1">
      <c r="A79" s="749">
        <v>42095</v>
      </c>
      <c r="B79" s="1834">
        <v>5</v>
      </c>
      <c r="C79" s="1833">
        <v>26</v>
      </c>
      <c r="D79" s="1833">
        <v>3</v>
      </c>
      <c r="E79" s="720">
        <v>40</v>
      </c>
      <c r="F79" s="1832">
        <v>0</v>
      </c>
      <c r="G79" s="1835">
        <v>2</v>
      </c>
      <c r="H79" s="1835">
        <v>0</v>
      </c>
      <c r="I79" s="1757">
        <v>0</v>
      </c>
      <c r="J79" s="724">
        <v>0</v>
      </c>
      <c r="K79" s="1836">
        <v>0</v>
      </c>
      <c r="L79" s="1837">
        <v>0</v>
      </c>
      <c r="M79" s="521">
        <v>0</v>
      </c>
      <c r="N79" s="2485">
        <f t="shared" si="8"/>
        <v>74</v>
      </c>
      <c r="O79" s="546">
        <f t="shared" si="9"/>
        <v>2</v>
      </c>
      <c r="P79" s="554">
        <f t="shared" si="10"/>
        <v>0</v>
      </c>
      <c r="Q79" s="1258"/>
      <c r="R79" s="1258"/>
      <c r="S79" s="1258"/>
      <c r="T79" s="4"/>
      <c r="U79" s="4"/>
    </row>
    <row r="80" spans="1:21" s="1" customFormat="1" ht="19.5" hidden="1" customHeight="1">
      <c r="A80" s="749">
        <v>42125</v>
      </c>
      <c r="B80" s="1834">
        <v>5</v>
      </c>
      <c r="C80" s="1833">
        <v>26</v>
      </c>
      <c r="D80" s="1833">
        <v>3</v>
      </c>
      <c r="E80" s="720">
        <v>40</v>
      </c>
      <c r="F80" s="1832">
        <v>0</v>
      </c>
      <c r="G80" s="1835">
        <v>3</v>
      </c>
      <c r="H80" s="1835">
        <v>0</v>
      </c>
      <c r="I80" s="1757">
        <v>0</v>
      </c>
      <c r="J80" s="724">
        <v>0</v>
      </c>
      <c r="K80" s="1836">
        <v>0</v>
      </c>
      <c r="L80" s="1837">
        <v>0</v>
      </c>
      <c r="M80" s="521">
        <v>0</v>
      </c>
      <c r="N80" s="2485">
        <f t="shared" si="8"/>
        <v>74</v>
      </c>
      <c r="O80" s="546">
        <f t="shared" si="9"/>
        <v>3</v>
      </c>
      <c r="P80" s="554">
        <f t="shared" si="10"/>
        <v>0</v>
      </c>
      <c r="Q80" s="1258"/>
      <c r="R80" s="1258"/>
      <c r="S80" s="1258"/>
      <c r="T80" s="4"/>
      <c r="U80" s="4"/>
    </row>
    <row r="81" spans="1:21" s="1" customFormat="1" ht="19.5" hidden="1" customHeight="1">
      <c r="A81" s="749">
        <v>42156</v>
      </c>
      <c r="B81" s="1834">
        <v>5</v>
      </c>
      <c r="C81" s="1833">
        <v>28</v>
      </c>
      <c r="D81" s="1833">
        <v>8</v>
      </c>
      <c r="E81" s="720">
        <v>40</v>
      </c>
      <c r="F81" s="1832">
        <v>0</v>
      </c>
      <c r="G81" s="1835">
        <v>3</v>
      </c>
      <c r="H81" s="1835">
        <v>0</v>
      </c>
      <c r="I81" s="1757">
        <v>0</v>
      </c>
      <c r="J81" s="724">
        <v>1</v>
      </c>
      <c r="K81" s="1836">
        <v>0</v>
      </c>
      <c r="L81" s="1837">
        <v>0</v>
      </c>
      <c r="M81" s="521">
        <v>0</v>
      </c>
      <c r="N81" s="2485">
        <f t="shared" si="8"/>
        <v>81</v>
      </c>
      <c r="O81" s="546">
        <f>F81+G81+H81</f>
        <v>3</v>
      </c>
      <c r="P81" s="554">
        <f>J81+K81+L81+M81</f>
        <v>1</v>
      </c>
      <c r="Q81" s="1258"/>
      <c r="R81" s="1258"/>
      <c r="S81" s="1258"/>
      <c r="T81" s="4"/>
      <c r="U81" s="4"/>
    </row>
    <row r="82" spans="1:21" s="1" customFormat="1" ht="19.5" hidden="1" customHeight="1">
      <c r="A82" s="749">
        <v>42186</v>
      </c>
      <c r="B82" s="1834">
        <v>6</v>
      </c>
      <c r="C82" s="1833">
        <v>44</v>
      </c>
      <c r="D82" s="1833">
        <v>7</v>
      </c>
      <c r="E82" s="720">
        <v>40</v>
      </c>
      <c r="F82" s="1832">
        <v>0</v>
      </c>
      <c r="G82" s="1835">
        <v>2</v>
      </c>
      <c r="H82" s="1835">
        <v>0</v>
      </c>
      <c r="I82" s="1757">
        <v>0</v>
      </c>
      <c r="J82" s="724">
        <v>2</v>
      </c>
      <c r="K82" s="1836">
        <v>1</v>
      </c>
      <c r="L82" s="1837">
        <v>0</v>
      </c>
      <c r="M82" s="521">
        <v>0</v>
      </c>
      <c r="N82" s="2485">
        <f t="shared" si="8"/>
        <v>97</v>
      </c>
      <c r="O82" s="546">
        <f t="shared" si="9"/>
        <v>2</v>
      </c>
      <c r="P82" s="554">
        <f t="shared" si="10"/>
        <v>3</v>
      </c>
      <c r="Q82" s="1258"/>
      <c r="R82" s="1258"/>
      <c r="S82" s="1258"/>
      <c r="T82" s="4"/>
      <c r="U82" s="4"/>
    </row>
    <row r="83" spans="1:21" s="1" customFormat="1" ht="19.5" hidden="1" customHeight="1">
      <c r="A83" s="749">
        <v>42217</v>
      </c>
      <c r="B83" s="1834">
        <v>12</v>
      </c>
      <c r="C83" s="1833">
        <v>45</v>
      </c>
      <c r="D83" s="1833">
        <v>7</v>
      </c>
      <c r="E83" s="720">
        <v>40</v>
      </c>
      <c r="F83" s="1832">
        <v>0</v>
      </c>
      <c r="G83" s="1835">
        <v>2</v>
      </c>
      <c r="H83" s="1835">
        <v>0</v>
      </c>
      <c r="I83" s="1757">
        <v>0</v>
      </c>
      <c r="J83" s="724">
        <v>2</v>
      </c>
      <c r="K83" s="1836">
        <v>1</v>
      </c>
      <c r="L83" s="1837">
        <v>0</v>
      </c>
      <c r="M83" s="521">
        <v>0</v>
      </c>
      <c r="N83" s="2485">
        <f t="shared" si="8"/>
        <v>104</v>
      </c>
      <c r="O83" s="546">
        <f t="shared" si="9"/>
        <v>2</v>
      </c>
      <c r="P83" s="554">
        <f t="shared" si="10"/>
        <v>3</v>
      </c>
      <c r="Q83" s="1258"/>
      <c r="R83" s="1258"/>
      <c r="S83" s="1258"/>
      <c r="T83" s="4"/>
      <c r="U83" s="4"/>
    </row>
    <row r="84" spans="1:21" s="1" customFormat="1" ht="19.5" hidden="1" customHeight="1">
      <c r="A84" s="749">
        <v>42248</v>
      </c>
      <c r="B84" s="1834">
        <v>14</v>
      </c>
      <c r="C84" s="1833">
        <v>45</v>
      </c>
      <c r="D84" s="1833">
        <v>7</v>
      </c>
      <c r="E84" s="720">
        <v>40</v>
      </c>
      <c r="F84" s="1832">
        <v>0</v>
      </c>
      <c r="G84" s="1835">
        <v>2</v>
      </c>
      <c r="H84" s="1835">
        <v>0</v>
      </c>
      <c r="I84" s="1757">
        <v>0</v>
      </c>
      <c r="J84" s="724">
        <v>7</v>
      </c>
      <c r="K84" s="1836">
        <v>1</v>
      </c>
      <c r="L84" s="1837">
        <v>0</v>
      </c>
      <c r="M84" s="521">
        <v>0</v>
      </c>
      <c r="N84" s="2485">
        <f t="shared" ref="N84:N92" si="11">B84+C84+D84+E84</f>
        <v>106</v>
      </c>
      <c r="O84" s="546">
        <f t="shared" ref="O84:O92" si="12">F84+G84+H84</f>
        <v>2</v>
      </c>
      <c r="P84" s="554">
        <f t="shared" ref="P84:P92" si="13">J84+K84+L84+M84</f>
        <v>8</v>
      </c>
      <c r="Q84" s="1258"/>
      <c r="R84" s="1258"/>
      <c r="S84" s="1258"/>
      <c r="T84" s="4"/>
      <c r="U84" s="4"/>
    </row>
    <row r="85" spans="1:21" s="1" customFormat="1" ht="19.5" hidden="1" customHeight="1">
      <c r="A85" s="749">
        <v>42278</v>
      </c>
      <c r="B85" s="1834">
        <v>15</v>
      </c>
      <c r="C85" s="1833">
        <v>46</v>
      </c>
      <c r="D85" s="1833">
        <v>9</v>
      </c>
      <c r="E85" s="720">
        <v>40</v>
      </c>
      <c r="F85" s="1832">
        <v>0</v>
      </c>
      <c r="G85" s="1835">
        <v>2</v>
      </c>
      <c r="H85" s="1835">
        <v>0</v>
      </c>
      <c r="I85" s="1757">
        <v>0</v>
      </c>
      <c r="J85" s="724">
        <v>7</v>
      </c>
      <c r="K85" s="1836">
        <v>1</v>
      </c>
      <c r="L85" s="1837">
        <v>0</v>
      </c>
      <c r="M85" s="521">
        <v>0</v>
      </c>
      <c r="N85" s="2485">
        <f t="shared" si="11"/>
        <v>110</v>
      </c>
      <c r="O85" s="546">
        <f t="shared" si="12"/>
        <v>2</v>
      </c>
      <c r="P85" s="554">
        <f t="shared" si="13"/>
        <v>8</v>
      </c>
      <c r="Q85" s="1258"/>
      <c r="R85" s="1258"/>
      <c r="S85" s="1258"/>
      <c r="T85" s="4"/>
      <c r="U85" s="4"/>
    </row>
    <row r="86" spans="1:21" s="1" customFormat="1" ht="19.5" hidden="1" customHeight="1">
      <c r="A86" s="749">
        <v>42309</v>
      </c>
      <c r="B86" s="1834">
        <v>17</v>
      </c>
      <c r="C86" s="1833">
        <v>50</v>
      </c>
      <c r="D86" s="1833">
        <v>11</v>
      </c>
      <c r="E86" s="720">
        <v>40</v>
      </c>
      <c r="F86" s="1832">
        <v>0</v>
      </c>
      <c r="G86" s="1835">
        <v>3</v>
      </c>
      <c r="H86" s="1835">
        <v>0</v>
      </c>
      <c r="I86" s="1757">
        <v>0</v>
      </c>
      <c r="J86" s="724">
        <v>7</v>
      </c>
      <c r="K86" s="1836">
        <v>1</v>
      </c>
      <c r="L86" s="1837">
        <v>0</v>
      </c>
      <c r="M86" s="521">
        <v>0</v>
      </c>
      <c r="N86" s="2485">
        <f t="shared" si="11"/>
        <v>118</v>
      </c>
      <c r="O86" s="546">
        <f t="shared" si="12"/>
        <v>3</v>
      </c>
      <c r="P86" s="554">
        <f t="shared" si="13"/>
        <v>8</v>
      </c>
      <c r="Q86" s="1258"/>
      <c r="R86" s="1258"/>
      <c r="S86" s="1258"/>
      <c r="T86" s="4"/>
      <c r="U86" s="4"/>
    </row>
    <row r="87" spans="1:21" s="1" customFormat="1" ht="12.75" hidden="1">
      <c r="A87" s="749">
        <v>42339</v>
      </c>
      <c r="B87" s="1834">
        <v>18</v>
      </c>
      <c r="C87" s="1833">
        <v>59</v>
      </c>
      <c r="D87" s="1833">
        <v>11</v>
      </c>
      <c r="E87" s="720">
        <v>41</v>
      </c>
      <c r="F87" s="1832">
        <v>0</v>
      </c>
      <c r="G87" s="1835">
        <v>3</v>
      </c>
      <c r="H87" s="1835">
        <v>0</v>
      </c>
      <c r="I87" s="1757">
        <v>0</v>
      </c>
      <c r="J87" s="724">
        <v>8</v>
      </c>
      <c r="K87" s="1836">
        <v>2</v>
      </c>
      <c r="L87" s="1837">
        <v>0</v>
      </c>
      <c r="M87" s="521">
        <v>0</v>
      </c>
      <c r="N87" s="2485">
        <f t="shared" si="11"/>
        <v>129</v>
      </c>
      <c r="O87" s="546">
        <f t="shared" si="12"/>
        <v>3</v>
      </c>
      <c r="P87" s="554">
        <f t="shared" si="13"/>
        <v>10</v>
      </c>
      <c r="Q87" s="1258"/>
      <c r="R87" s="1258"/>
      <c r="S87" s="1258"/>
      <c r="T87" s="4"/>
      <c r="U87" s="4"/>
    </row>
    <row r="88" spans="1:21" s="1" customFormat="1" ht="12.75" hidden="1">
      <c r="A88" s="749">
        <v>42370</v>
      </c>
      <c r="B88" s="1834">
        <v>18</v>
      </c>
      <c r="C88" s="1833">
        <v>64</v>
      </c>
      <c r="D88" s="1833">
        <v>12</v>
      </c>
      <c r="E88" s="720">
        <v>41</v>
      </c>
      <c r="F88" s="1832">
        <v>0</v>
      </c>
      <c r="G88" s="1835">
        <v>3</v>
      </c>
      <c r="H88" s="1835">
        <v>0</v>
      </c>
      <c r="I88" s="1757">
        <v>0</v>
      </c>
      <c r="J88" s="724">
        <v>9</v>
      </c>
      <c r="K88" s="1836">
        <v>2</v>
      </c>
      <c r="L88" s="1837">
        <v>0</v>
      </c>
      <c r="M88" s="521">
        <v>0</v>
      </c>
      <c r="N88" s="2485">
        <f t="shared" si="11"/>
        <v>135</v>
      </c>
      <c r="O88" s="546">
        <f t="shared" si="12"/>
        <v>3</v>
      </c>
      <c r="P88" s="554">
        <f t="shared" si="13"/>
        <v>11</v>
      </c>
      <c r="Q88" s="1258"/>
      <c r="R88" s="1258"/>
      <c r="S88" s="1258"/>
      <c r="T88" s="4"/>
      <c r="U88" s="4"/>
    </row>
    <row r="89" spans="1:21" s="1" customFormat="1" ht="12.75" hidden="1">
      <c r="A89" s="749">
        <v>42401</v>
      </c>
      <c r="B89" s="1834">
        <v>16</v>
      </c>
      <c r="C89" s="1833">
        <v>69</v>
      </c>
      <c r="D89" s="1833">
        <v>13</v>
      </c>
      <c r="E89" s="720">
        <v>41</v>
      </c>
      <c r="F89" s="1832">
        <v>0</v>
      </c>
      <c r="G89" s="1835">
        <v>3</v>
      </c>
      <c r="H89" s="1835">
        <v>0</v>
      </c>
      <c r="I89" s="1757">
        <v>0</v>
      </c>
      <c r="J89" s="724">
        <v>9</v>
      </c>
      <c r="K89" s="1836">
        <v>3</v>
      </c>
      <c r="L89" s="1837">
        <v>0</v>
      </c>
      <c r="M89" s="521">
        <v>0</v>
      </c>
      <c r="N89" s="2485">
        <f t="shared" si="11"/>
        <v>139</v>
      </c>
      <c r="O89" s="546">
        <f t="shared" si="12"/>
        <v>3</v>
      </c>
      <c r="P89" s="554">
        <f t="shared" si="13"/>
        <v>12</v>
      </c>
      <c r="Q89" s="1258"/>
      <c r="R89" s="1258"/>
      <c r="S89" s="1258"/>
      <c r="T89" s="4"/>
      <c r="U89" s="4"/>
    </row>
    <row r="90" spans="1:21" s="1" customFormat="1" ht="12.75" hidden="1">
      <c r="A90" s="749">
        <v>42430</v>
      </c>
      <c r="B90" s="1834">
        <v>16</v>
      </c>
      <c r="C90" s="1833">
        <v>74</v>
      </c>
      <c r="D90" s="1833">
        <v>13</v>
      </c>
      <c r="E90" s="720">
        <v>41</v>
      </c>
      <c r="F90" s="1832">
        <v>0</v>
      </c>
      <c r="G90" s="1835">
        <v>3</v>
      </c>
      <c r="H90" s="1835">
        <v>0</v>
      </c>
      <c r="I90" s="1757">
        <v>0</v>
      </c>
      <c r="J90" s="724">
        <v>9</v>
      </c>
      <c r="K90" s="1836">
        <v>3</v>
      </c>
      <c r="L90" s="1837">
        <v>0</v>
      </c>
      <c r="M90" s="521">
        <v>0</v>
      </c>
      <c r="N90" s="2485">
        <f t="shared" si="11"/>
        <v>144</v>
      </c>
      <c r="O90" s="546">
        <f t="shared" si="12"/>
        <v>3</v>
      </c>
      <c r="P90" s="554">
        <f t="shared" si="13"/>
        <v>12</v>
      </c>
      <c r="Q90" s="1258"/>
      <c r="R90" s="1258"/>
      <c r="S90" s="1258"/>
      <c r="T90" s="4"/>
      <c r="U90" s="4"/>
    </row>
    <row r="91" spans="1:21" s="1" customFormat="1" ht="12.75" hidden="1">
      <c r="A91" s="749">
        <v>42461</v>
      </c>
      <c r="B91" s="1834">
        <v>16</v>
      </c>
      <c r="C91" s="1833">
        <v>75</v>
      </c>
      <c r="D91" s="1833">
        <v>13</v>
      </c>
      <c r="E91" s="720">
        <v>41</v>
      </c>
      <c r="F91" s="1832">
        <v>0</v>
      </c>
      <c r="G91" s="1835">
        <v>3</v>
      </c>
      <c r="H91" s="1835">
        <v>0</v>
      </c>
      <c r="I91" s="1757">
        <v>0</v>
      </c>
      <c r="J91" s="724">
        <v>9</v>
      </c>
      <c r="K91" s="1836">
        <v>3</v>
      </c>
      <c r="L91" s="1837">
        <v>0</v>
      </c>
      <c r="M91" s="521">
        <v>0</v>
      </c>
      <c r="N91" s="2485">
        <f t="shared" si="11"/>
        <v>145</v>
      </c>
      <c r="O91" s="546">
        <f t="shared" si="12"/>
        <v>3</v>
      </c>
      <c r="P91" s="554">
        <f t="shared" si="13"/>
        <v>12</v>
      </c>
      <c r="Q91" s="1258"/>
      <c r="R91" s="1258"/>
      <c r="S91" s="1258"/>
      <c r="T91" s="4"/>
      <c r="U91" s="4"/>
    </row>
    <row r="92" spans="1:21" s="1" customFormat="1" ht="12.75" hidden="1">
      <c r="A92" s="749">
        <v>42491</v>
      </c>
      <c r="B92" s="1834">
        <v>16</v>
      </c>
      <c r="C92" s="1833">
        <v>80</v>
      </c>
      <c r="D92" s="1833">
        <v>14</v>
      </c>
      <c r="E92" s="720">
        <v>41</v>
      </c>
      <c r="F92" s="1832">
        <v>0</v>
      </c>
      <c r="G92" s="1835">
        <v>3</v>
      </c>
      <c r="H92" s="1835">
        <v>0</v>
      </c>
      <c r="I92" s="1757">
        <v>0</v>
      </c>
      <c r="J92" s="724">
        <v>9</v>
      </c>
      <c r="K92" s="1836">
        <v>3</v>
      </c>
      <c r="L92" s="1837">
        <v>0</v>
      </c>
      <c r="M92" s="521">
        <v>0</v>
      </c>
      <c r="N92" s="2485">
        <f t="shared" si="11"/>
        <v>151</v>
      </c>
      <c r="O92" s="546">
        <f t="shared" si="12"/>
        <v>3</v>
      </c>
      <c r="P92" s="554">
        <f t="shared" si="13"/>
        <v>12</v>
      </c>
      <c r="Q92" s="1258"/>
      <c r="R92" s="1258"/>
      <c r="S92" s="1258"/>
      <c r="T92" s="4"/>
      <c r="U92" s="4"/>
    </row>
    <row r="93" spans="1:21" s="1" customFormat="1" ht="12.75" hidden="1">
      <c r="A93" s="749">
        <v>42522</v>
      </c>
      <c r="B93" s="1834">
        <v>17</v>
      </c>
      <c r="C93" s="1833">
        <v>86</v>
      </c>
      <c r="D93" s="1833">
        <v>19</v>
      </c>
      <c r="E93" s="720">
        <v>41</v>
      </c>
      <c r="F93" s="1832">
        <v>0</v>
      </c>
      <c r="G93" s="1835">
        <v>2</v>
      </c>
      <c r="H93" s="1835">
        <v>0</v>
      </c>
      <c r="I93" s="1757">
        <v>0</v>
      </c>
      <c r="J93" s="724">
        <v>10</v>
      </c>
      <c r="K93" s="1836">
        <v>4</v>
      </c>
      <c r="L93" s="1837">
        <v>0</v>
      </c>
      <c r="M93" s="521">
        <v>0</v>
      </c>
      <c r="N93" s="2485">
        <f t="shared" ref="N93:N102" si="14">B93+C93+D93+E93</f>
        <v>163</v>
      </c>
      <c r="O93" s="546">
        <f>F93+G93+H93</f>
        <v>2</v>
      </c>
      <c r="P93" s="554">
        <f>J93+K93+L93+M93</f>
        <v>14</v>
      </c>
      <c r="Q93" s="1258"/>
      <c r="R93" s="1258"/>
      <c r="S93" s="1258"/>
      <c r="T93" s="4"/>
      <c r="U93" s="4"/>
    </row>
    <row r="94" spans="1:21" s="1" customFormat="1" ht="12.75" hidden="1">
      <c r="A94" s="749">
        <v>42552</v>
      </c>
      <c r="B94" s="1834">
        <v>16</v>
      </c>
      <c r="C94" s="1833">
        <v>90</v>
      </c>
      <c r="D94" s="1833">
        <v>27</v>
      </c>
      <c r="E94" s="720">
        <v>41</v>
      </c>
      <c r="F94" s="1832">
        <v>0</v>
      </c>
      <c r="G94" s="1835">
        <v>2</v>
      </c>
      <c r="H94" s="1835">
        <v>0</v>
      </c>
      <c r="I94" s="1757">
        <v>0</v>
      </c>
      <c r="J94" s="724">
        <v>14</v>
      </c>
      <c r="K94" s="1836">
        <v>4</v>
      </c>
      <c r="L94" s="1837">
        <v>0</v>
      </c>
      <c r="M94" s="521">
        <v>0</v>
      </c>
      <c r="N94" s="2485">
        <f t="shared" si="14"/>
        <v>174</v>
      </c>
      <c r="O94" s="546">
        <f>F94+G94+H94</f>
        <v>2</v>
      </c>
      <c r="P94" s="554">
        <f>J94+K94+L94+M94</f>
        <v>18</v>
      </c>
      <c r="Q94" s="1258"/>
      <c r="R94" s="1258"/>
      <c r="S94" s="1258"/>
      <c r="T94" s="4"/>
      <c r="U94" s="4"/>
    </row>
    <row r="95" spans="1:21" s="1" customFormat="1" ht="12.75" hidden="1">
      <c r="A95" s="749">
        <v>42583</v>
      </c>
      <c r="B95" s="1834">
        <v>18</v>
      </c>
      <c r="C95" s="1833">
        <v>97</v>
      </c>
      <c r="D95" s="1833">
        <v>28</v>
      </c>
      <c r="E95" s="720">
        <v>41</v>
      </c>
      <c r="F95" s="1832">
        <v>0</v>
      </c>
      <c r="G95" s="1835">
        <v>2</v>
      </c>
      <c r="H95" s="1835">
        <v>0</v>
      </c>
      <c r="I95" s="1757">
        <v>0</v>
      </c>
      <c r="J95" s="724">
        <v>15</v>
      </c>
      <c r="K95" s="1836">
        <v>4</v>
      </c>
      <c r="L95" s="1837">
        <v>0</v>
      </c>
      <c r="M95" s="521">
        <v>0</v>
      </c>
      <c r="N95" s="2485">
        <f t="shared" si="14"/>
        <v>184</v>
      </c>
      <c r="O95" s="546">
        <f>F95+G95+H95</f>
        <v>2</v>
      </c>
      <c r="P95" s="554">
        <f>J95+K95+L95+M95</f>
        <v>19</v>
      </c>
      <c r="Q95" s="1258"/>
      <c r="R95" s="1258"/>
      <c r="S95" s="1258"/>
      <c r="T95" s="4"/>
      <c r="U95" s="4"/>
    </row>
    <row r="96" spans="1:21" s="1" customFormat="1" ht="12.75" hidden="1">
      <c r="A96" s="749">
        <v>42614</v>
      </c>
      <c r="B96" s="1834">
        <v>19</v>
      </c>
      <c r="C96" s="1833">
        <v>102</v>
      </c>
      <c r="D96" s="1833">
        <v>29</v>
      </c>
      <c r="E96" s="720">
        <v>41</v>
      </c>
      <c r="F96" s="1832">
        <v>0</v>
      </c>
      <c r="G96" s="1835">
        <v>2</v>
      </c>
      <c r="H96" s="1835">
        <v>0</v>
      </c>
      <c r="I96" s="1757">
        <v>0</v>
      </c>
      <c r="J96" s="724">
        <v>17</v>
      </c>
      <c r="K96" s="1836">
        <v>4</v>
      </c>
      <c r="L96" s="1837">
        <v>0</v>
      </c>
      <c r="M96" s="521">
        <v>0</v>
      </c>
      <c r="N96" s="2485">
        <f t="shared" si="14"/>
        <v>191</v>
      </c>
      <c r="O96" s="546">
        <f>F96+G96+H96</f>
        <v>2</v>
      </c>
      <c r="P96" s="554">
        <f>J96+K96+L96+M96</f>
        <v>21</v>
      </c>
      <c r="Q96" s="1258"/>
      <c r="R96" s="1258"/>
      <c r="S96" s="1258"/>
      <c r="T96" s="4"/>
      <c r="U96" s="4"/>
    </row>
    <row r="97" spans="1:21" s="1" customFormat="1" ht="12.75" hidden="1">
      <c r="A97" s="749">
        <v>42644</v>
      </c>
      <c r="B97" s="1834">
        <v>19</v>
      </c>
      <c r="C97" s="1833">
        <v>102</v>
      </c>
      <c r="D97" s="1833">
        <v>29</v>
      </c>
      <c r="E97" s="720">
        <v>41</v>
      </c>
      <c r="F97" s="1832">
        <v>0</v>
      </c>
      <c r="G97" s="1835">
        <v>2</v>
      </c>
      <c r="H97" s="1835">
        <v>0</v>
      </c>
      <c r="I97" s="1757">
        <v>0</v>
      </c>
      <c r="J97" s="724">
        <v>17</v>
      </c>
      <c r="K97" s="1836">
        <v>4</v>
      </c>
      <c r="L97" s="1837">
        <v>0</v>
      </c>
      <c r="M97" s="521">
        <v>0</v>
      </c>
      <c r="N97" s="2485">
        <f t="shared" si="14"/>
        <v>191</v>
      </c>
      <c r="O97" s="546">
        <f t="shared" ref="O97:O102" si="15">G97</f>
        <v>2</v>
      </c>
      <c r="P97" s="554">
        <f t="shared" ref="P97:P102" si="16">J97+K97</f>
        <v>21</v>
      </c>
      <c r="Q97" s="1258"/>
      <c r="R97" s="1258"/>
      <c r="S97" s="1258"/>
      <c r="T97" s="4"/>
      <c r="U97" s="4"/>
    </row>
    <row r="98" spans="1:21" s="1" customFormat="1" ht="12.75" hidden="1">
      <c r="A98" s="749">
        <v>42675</v>
      </c>
      <c r="B98" s="1834">
        <v>19</v>
      </c>
      <c r="C98" s="1833">
        <v>104</v>
      </c>
      <c r="D98" s="1833">
        <v>35</v>
      </c>
      <c r="E98" s="720">
        <v>41</v>
      </c>
      <c r="F98" s="1832">
        <v>0</v>
      </c>
      <c r="G98" s="1835">
        <v>2</v>
      </c>
      <c r="H98" s="1835">
        <v>0</v>
      </c>
      <c r="I98" s="1757">
        <v>0</v>
      </c>
      <c r="J98" s="724">
        <v>17</v>
      </c>
      <c r="K98" s="1836">
        <v>4</v>
      </c>
      <c r="L98" s="1837">
        <v>0</v>
      </c>
      <c r="M98" s="521">
        <v>0</v>
      </c>
      <c r="N98" s="2485">
        <f t="shared" si="14"/>
        <v>199</v>
      </c>
      <c r="O98" s="546">
        <f t="shared" si="15"/>
        <v>2</v>
      </c>
      <c r="P98" s="554">
        <f t="shared" si="16"/>
        <v>21</v>
      </c>
      <c r="Q98" s="1258"/>
      <c r="R98" s="1258"/>
      <c r="S98" s="1258"/>
      <c r="T98" s="4"/>
      <c r="U98" s="4"/>
    </row>
    <row r="99" spans="1:21" s="1" customFormat="1" ht="12.75" hidden="1" customHeight="1">
      <c r="A99" s="749">
        <v>42705</v>
      </c>
      <c r="B99" s="1834">
        <v>19</v>
      </c>
      <c r="C99" s="1833">
        <v>121</v>
      </c>
      <c r="D99" s="1833">
        <v>36</v>
      </c>
      <c r="E99" s="720">
        <v>41</v>
      </c>
      <c r="F99" s="1832">
        <v>0</v>
      </c>
      <c r="G99" s="1835">
        <v>2</v>
      </c>
      <c r="H99" s="1835">
        <v>0</v>
      </c>
      <c r="I99" s="1757">
        <v>0</v>
      </c>
      <c r="J99" s="724">
        <v>17</v>
      </c>
      <c r="K99" s="1836">
        <v>5</v>
      </c>
      <c r="L99" s="1837">
        <v>0</v>
      </c>
      <c r="M99" s="521">
        <v>0</v>
      </c>
      <c r="N99" s="2485">
        <f t="shared" si="14"/>
        <v>217</v>
      </c>
      <c r="O99" s="546">
        <f t="shared" si="15"/>
        <v>2</v>
      </c>
      <c r="P99" s="554">
        <f t="shared" si="16"/>
        <v>22</v>
      </c>
      <c r="Q99" s="1258"/>
      <c r="R99" s="1258"/>
      <c r="S99" s="1258"/>
      <c r="T99" s="4"/>
      <c r="U99" s="4"/>
    </row>
    <row r="100" spans="1:21" s="1" customFormat="1" ht="12.75" hidden="1" customHeight="1">
      <c r="A100" s="749">
        <v>42736</v>
      </c>
      <c r="B100" s="1834">
        <v>20</v>
      </c>
      <c r="C100" s="1833">
        <v>107</v>
      </c>
      <c r="D100" s="1833">
        <v>40</v>
      </c>
      <c r="E100" s="720">
        <v>41</v>
      </c>
      <c r="F100" s="1832">
        <v>0</v>
      </c>
      <c r="G100" s="1835">
        <v>2</v>
      </c>
      <c r="H100" s="1835">
        <v>0</v>
      </c>
      <c r="I100" s="1757">
        <v>0</v>
      </c>
      <c r="J100" s="724">
        <v>17</v>
      </c>
      <c r="K100" s="1836">
        <v>5</v>
      </c>
      <c r="L100" s="1837">
        <v>0</v>
      </c>
      <c r="M100" s="521">
        <v>0</v>
      </c>
      <c r="N100" s="2485">
        <f t="shared" si="14"/>
        <v>208</v>
      </c>
      <c r="O100" s="546">
        <f t="shared" si="15"/>
        <v>2</v>
      </c>
      <c r="P100" s="554">
        <f t="shared" si="16"/>
        <v>22</v>
      </c>
      <c r="Q100" s="1258"/>
      <c r="R100" s="1258"/>
      <c r="S100" s="1258"/>
      <c r="T100" s="4"/>
      <c r="U100" s="4"/>
    </row>
    <row r="101" spans="1:21" s="1" customFormat="1" ht="12.75" hidden="1" customHeight="1">
      <c r="A101" s="749">
        <v>42767</v>
      </c>
      <c r="B101" s="1834">
        <v>20</v>
      </c>
      <c r="C101" s="1833">
        <v>104</v>
      </c>
      <c r="D101" s="1833">
        <v>43</v>
      </c>
      <c r="E101" s="720">
        <v>41</v>
      </c>
      <c r="F101" s="1832">
        <v>0</v>
      </c>
      <c r="G101" s="1835">
        <v>2</v>
      </c>
      <c r="H101" s="1835">
        <v>0</v>
      </c>
      <c r="I101" s="1757">
        <v>0</v>
      </c>
      <c r="J101" s="724">
        <v>17</v>
      </c>
      <c r="K101" s="1836">
        <v>5</v>
      </c>
      <c r="L101" s="1837">
        <v>0</v>
      </c>
      <c r="M101" s="521">
        <v>0</v>
      </c>
      <c r="N101" s="2485">
        <f t="shared" si="14"/>
        <v>208</v>
      </c>
      <c r="O101" s="546">
        <f t="shared" si="15"/>
        <v>2</v>
      </c>
      <c r="P101" s="554">
        <f t="shared" si="16"/>
        <v>22</v>
      </c>
      <c r="Q101" s="1258"/>
      <c r="R101" s="1258"/>
      <c r="S101" s="1258"/>
      <c r="T101" s="4"/>
      <c r="U101" s="4"/>
    </row>
    <row r="102" spans="1:21" s="1" customFormat="1" ht="12.75" hidden="1" customHeight="1">
      <c r="A102" s="749">
        <v>42795</v>
      </c>
      <c r="B102" s="1834">
        <v>20</v>
      </c>
      <c r="C102" s="1833">
        <v>102</v>
      </c>
      <c r="D102" s="1833">
        <v>44</v>
      </c>
      <c r="E102" s="720">
        <v>41</v>
      </c>
      <c r="F102" s="1832">
        <v>0</v>
      </c>
      <c r="G102" s="1835">
        <v>2</v>
      </c>
      <c r="H102" s="1835">
        <v>0</v>
      </c>
      <c r="I102" s="1757">
        <v>0</v>
      </c>
      <c r="J102" s="724">
        <v>17</v>
      </c>
      <c r="K102" s="1836">
        <v>5</v>
      </c>
      <c r="L102" s="1837">
        <v>0</v>
      </c>
      <c r="M102" s="521">
        <v>0</v>
      </c>
      <c r="N102" s="2485">
        <f t="shared" si="14"/>
        <v>207</v>
      </c>
      <c r="O102" s="546">
        <f t="shared" si="15"/>
        <v>2</v>
      </c>
      <c r="P102" s="554">
        <f t="shared" si="16"/>
        <v>22</v>
      </c>
      <c r="Q102" s="1258"/>
      <c r="R102" s="1258"/>
      <c r="S102" s="1258"/>
      <c r="T102" s="4"/>
      <c r="U102" s="4"/>
    </row>
    <row r="103" spans="1:21" s="1" customFormat="1" ht="12.75" hidden="1" customHeight="1">
      <c r="A103" s="749">
        <v>42826</v>
      </c>
      <c r="B103" s="1834">
        <v>21</v>
      </c>
      <c r="C103" s="1833">
        <v>103</v>
      </c>
      <c r="D103" s="1833">
        <v>46</v>
      </c>
      <c r="E103" s="720">
        <v>41</v>
      </c>
      <c r="F103" s="1832">
        <v>0</v>
      </c>
      <c r="G103" s="1835">
        <v>2</v>
      </c>
      <c r="H103" s="1835">
        <v>0</v>
      </c>
      <c r="I103" s="1757">
        <v>0</v>
      </c>
      <c r="J103" s="724">
        <v>19</v>
      </c>
      <c r="K103" s="1836">
        <v>5</v>
      </c>
      <c r="L103" s="1837">
        <v>0</v>
      </c>
      <c r="M103" s="521">
        <v>0</v>
      </c>
      <c r="N103" s="2594">
        <v>211</v>
      </c>
      <c r="O103" s="2480">
        <v>2</v>
      </c>
      <c r="P103" s="2481">
        <v>24</v>
      </c>
      <c r="Q103" s="1258"/>
      <c r="R103" s="1258"/>
      <c r="S103" s="1258"/>
      <c r="T103" s="4"/>
      <c r="U103" s="4"/>
    </row>
    <row r="104" spans="1:21" s="1" customFormat="1" ht="12.75" hidden="1" customHeight="1">
      <c r="A104" s="749">
        <v>42856</v>
      </c>
      <c r="B104" s="1834">
        <v>22</v>
      </c>
      <c r="C104" s="1833">
        <v>105</v>
      </c>
      <c r="D104" s="1833">
        <v>46</v>
      </c>
      <c r="E104" s="720">
        <v>41</v>
      </c>
      <c r="F104" s="1832">
        <v>1</v>
      </c>
      <c r="G104" s="1835">
        <v>2</v>
      </c>
      <c r="H104" s="1835">
        <v>0</v>
      </c>
      <c r="I104" s="1757">
        <v>0</v>
      </c>
      <c r="J104" s="724">
        <v>19</v>
      </c>
      <c r="K104" s="1836">
        <v>5</v>
      </c>
      <c r="L104" s="1837">
        <v>0</v>
      </c>
      <c r="M104" s="521">
        <v>0</v>
      </c>
      <c r="N104" s="2482">
        <v>214</v>
      </c>
      <c r="O104" s="2483">
        <v>2</v>
      </c>
      <c r="P104" s="2484">
        <v>24</v>
      </c>
      <c r="Q104" s="1258"/>
      <c r="R104" s="1258"/>
      <c r="S104" s="1258"/>
      <c r="T104" s="4"/>
      <c r="U104" s="4"/>
    </row>
    <row r="105" spans="1:21" s="1" customFormat="1" ht="12.75" hidden="1" customHeight="1">
      <c r="A105" s="749">
        <v>42887</v>
      </c>
      <c r="B105" s="1834">
        <v>24</v>
      </c>
      <c r="C105" s="1833">
        <v>107</v>
      </c>
      <c r="D105" s="1833">
        <v>46</v>
      </c>
      <c r="E105" s="720">
        <v>41</v>
      </c>
      <c r="F105" s="1832">
        <v>1</v>
      </c>
      <c r="G105" s="1835">
        <v>2</v>
      </c>
      <c r="H105" s="1835">
        <v>0</v>
      </c>
      <c r="I105" s="1757">
        <v>0</v>
      </c>
      <c r="J105" s="724">
        <v>19</v>
      </c>
      <c r="K105" s="1836">
        <v>5</v>
      </c>
      <c r="L105" s="1837">
        <v>0</v>
      </c>
      <c r="M105" s="521">
        <v>0</v>
      </c>
      <c r="N105" s="2485">
        <v>218</v>
      </c>
      <c r="O105" s="546">
        <v>2</v>
      </c>
      <c r="P105" s="554">
        <v>24</v>
      </c>
      <c r="Q105" s="1258"/>
      <c r="R105" s="1258"/>
      <c r="S105" s="1258"/>
      <c r="T105" s="4"/>
      <c r="U105" s="4"/>
    </row>
    <row r="106" spans="1:21" s="1" customFormat="1" ht="12.75" hidden="1" customHeight="1">
      <c r="A106" s="749">
        <v>42917</v>
      </c>
      <c r="B106" s="1834">
        <v>24</v>
      </c>
      <c r="C106" s="1833">
        <v>109</v>
      </c>
      <c r="D106" s="1833">
        <v>48</v>
      </c>
      <c r="E106" s="720">
        <v>41</v>
      </c>
      <c r="F106" s="1832">
        <v>1</v>
      </c>
      <c r="G106" s="1835">
        <v>2</v>
      </c>
      <c r="H106" s="1835">
        <v>0</v>
      </c>
      <c r="I106" s="1757">
        <v>0</v>
      </c>
      <c r="J106" s="724">
        <v>19</v>
      </c>
      <c r="K106" s="1836">
        <v>7</v>
      </c>
      <c r="L106" s="1837">
        <v>0</v>
      </c>
      <c r="M106" s="521">
        <v>0</v>
      </c>
      <c r="N106" s="2485">
        <v>222</v>
      </c>
      <c r="O106" s="546">
        <v>2</v>
      </c>
      <c r="P106" s="554">
        <v>26</v>
      </c>
      <c r="Q106" s="1258"/>
      <c r="R106" s="1258"/>
      <c r="S106" s="1258"/>
      <c r="T106" s="4"/>
      <c r="U106" s="4"/>
    </row>
    <row r="107" spans="1:21" s="1" customFormat="1" ht="12.75" hidden="1" customHeight="1">
      <c r="A107" s="749">
        <v>42948</v>
      </c>
      <c r="B107" s="1834">
        <v>26</v>
      </c>
      <c r="C107" s="1833">
        <v>113</v>
      </c>
      <c r="D107" s="1833">
        <v>49</v>
      </c>
      <c r="E107" s="720">
        <v>41</v>
      </c>
      <c r="F107" s="1832">
        <v>1</v>
      </c>
      <c r="G107" s="1835">
        <v>2</v>
      </c>
      <c r="H107" s="1835">
        <v>0</v>
      </c>
      <c r="I107" s="1757">
        <v>0</v>
      </c>
      <c r="J107" s="724">
        <v>23</v>
      </c>
      <c r="K107" s="1836">
        <v>7</v>
      </c>
      <c r="L107" s="1837">
        <v>0</v>
      </c>
      <c r="M107" s="521">
        <v>0</v>
      </c>
      <c r="N107" s="2485">
        <v>229</v>
      </c>
      <c r="O107" s="546">
        <v>2</v>
      </c>
      <c r="P107" s="554">
        <v>30</v>
      </c>
      <c r="Q107" s="1258"/>
      <c r="R107" s="1258"/>
      <c r="S107" s="1258"/>
      <c r="T107" s="4"/>
      <c r="U107" s="4"/>
    </row>
    <row r="108" spans="1:21" s="1" customFormat="1" ht="12.75" customHeight="1">
      <c r="A108" s="749">
        <v>42979</v>
      </c>
      <c r="B108" s="1834">
        <v>26</v>
      </c>
      <c r="C108" s="1833">
        <v>113</v>
      </c>
      <c r="D108" s="1833">
        <v>50</v>
      </c>
      <c r="E108" s="720">
        <v>41</v>
      </c>
      <c r="F108" s="1832">
        <v>1</v>
      </c>
      <c r="G108" s="1835">
        <v>2</v>
      </c>
      <c r="H108" s="1835">
        <v>0</v>
      </c>
      <c r="I108" s="1757">
        <v>0</v>
      </c>
      <c r="J108" s="724">
        <v>23</v>
      </c>
      <c r="K108" s="1836">
        <v>7</v>
      </c>
      <c r="L108" s="1837">
        <v>0</v>
      </c>
      <c r="M108" s="521">
        <v>0</v>
      </c>
      <c r="N108" s="2485">
        <v>230</v>
      </c>
      <c r="O108" s="546">
        <v>3</v>
      </c>
      <c r="P108" s="554">
        <v>30</v>
      </c>
      <c r="Q108" s="1258"/>
      <c r="R108" s="1258"/>
      <c r="S108" s="1258"/>
      <c r="T108" s="4"/>
      <c r="U108" s="4"/>
    </row>
    <row r="109" spans="1:21" s="1" customFormat="1" ht="12.75" customHeight="1">
      <c r="A109" s="749">
        <v>43009</v>
      </c>
      <c r="B109" s="1834">
        <v>26</v>
      </c>
      <c r="C109" s="1833">
        <v>115</v>
      </c>
      <c r="D109" s="1833">
        <v>51</v>
      </c>
      <c r="E109" s="720">
        <v>41</v>
      </c>
      <c r="F109" s="1832">
        <v>1</v>
      </c>
      <c r="G109" s="1835">
        <v>2</v>
      </c>
      <c r="H109" s="1835">
        <v>0</v>
      </c>
      <c r="I109" s="1757">
        <v>0</v>
      </c>
      <c r="J109" s="724">
        <v>22</v>
      </c>
      <c r="K109" s="1836">
        <v>7</v>
      </c>
      <c r="L109" s="1837">
        <v>0</v>
      </c>
      <c r="M109" s="521">
        <v>0</v>
      </c>
      <c r="N109" s="2485">
        <v>233</v>
      </c>
      <c r="O109" s="546">
        <v>3</v>
      </c>
      <c r="P109" s="554">
        <v>29</v>
      </c>
      <c r="Q109" s="1258"/>
      <c r="R109" s="1258"/>
      <c r="S109" s="1258"/>
      <c r="T109" s="4"/>
      <c r="U109" s="4"/>
    </row>
    <row r="110" spans="1:21" s="1" customFormat="1" ht="12.75" customHeight="1">
      <c r="A110" s="749">
        <v>43040</v>
      </c>
      <c r="B110" s="1834">
        <v>26</v>
      </c>
      <c r="C110" s="1833">
        <v>118</v>
      </c>
      <c r="D110" s="1833">
        <v>51</v>
      </c>
      <c r="E110" s="720">
        <v>41</v>
      </c>
      <c r="F110" s="1832">
        <v>1</v>
      </c>
      <c r="G110" s="1835">
        <v>2</v>
      </c>
      <c r="H110" s="1835">
        <v>0</v>
      </c>
      <c r="I110" s="1757">
        <v>0</v>
      </c>
      <c r="J110" s="724">
        <v>22</v>
      </c>
      <c r="K110" s="1836">
        <v>7</v>
      </c>
      <c r="L110" s="1837">
        <v>0</v>
      </c>
      <c r="M110" s="521">
        <v>0</v>
      </c>
      <c r="N110" s="2485">
        <v>236</v>
      </c>
      <c r="O110" s="546">
        <v>3</v>
      </c>
      <c r="P110" s="554">
        <v>29</v>
      </c>
      <c r="Q110" s="1258"/>
      <c r="R110" s="1258"/>
      <c r="S110" s="1258"/>
      <c r="T110" s="4"/>
      <c r="U110" s="4"/>
    </row>
    <row r="111" spans="1:21" s="1" customFormat="1" ht="12.75" customHeight="1">
      <c r="A111" s="749">
        <v>43070</v>
      </c>
      <c r="B111" s="1834">
        <v>26</v>
      </c>
      <c r="C111" s="1833">
        <v>122</v>
      </c>
      <c r="D111" s="1833">
        <v>51</v>
      </c>
      <c r="E111" s="720">
        <v>41</v>
      </c>
      <c r="F111" s="1832">
        <v>1</v>
      </c>
      <c r="G111" s="1835">
        <v>2</v>
      </c>
      <c r="H111" s="1835">
        <v>0</v>
      </c>
      <c r="I111" s="1757">
        <v>0</v>
      </c>
      <c r="J111" s="724">
        <v>24</v>
      </c>
      <c r="K111" s="1836">
        <v>7</v>
      </c>
      <c r="L111" s="1837">
        <v>0</v>
      </c>
      <c r="M111" s="521">
        <v>0</v>
      </c>
      <c r="N111" s="2485">
        <v>240</v>
      </c>
      <c r="O111" s="546">
        <v>3</v>
      </c>
      <c r="P111" s="554">
        <v>31</v>
      </c>
      <c r="Q111" s="1258"/>
      <c r="R111" s="1258"/>
      <c r="S111" s="1258"/>
      <c r="T111" s="4"/>
      <c r="U111" s="4"/>
    </row>
    <row r="112" spans="1:21" s="1257" customFormat="1" ht="12.75" customHeight="1">
      <c r="A112" s="749">
        <v>43101</v>
      </c>
      <c r="B112" s="1834">
        <v>26</v>
      </c>
      <c r="C112" s="1833">
        <v>122</v>
      </c>
      <c r="D112" s="1833">
        <v>52</v>
      </c>
      <c r="E112" s="720">
        <v>41</v>
      </c>
      <c r="F112" s="1832">
        <v>1</v>
      </c>
      <c r="G112" s="1835">
        <v>3</v>
      </c>
      <c r="H112" s="1835">
        <v>0</v>
      </c>
      <c r="I112" s="1757">
        <v>0</v>
      </c>
      <c r="J112" s="724">
        <v>24</v>
      </c>
      <c r="K112" s="1836">
        <v>8</v>
      </c>
      <c r="L112" s="1837">
        <v>0</v>
      </c>
      <c r="M112" s="521">
        <v>0</v>
      </c>
      <c r="N112" s="2485">
        <v>241</v>
      </c>
      <c r="O112" s="546">
        <v>4</v>
      </c>
      <c r="P112" s="554">
        <v>32</v>
      </c>
      <c r="Q112" s="1258"/>
      <c r="R112" s="1258"/>
      <c r="S112" s="1258"/>
      <c r="T112" s="1258"/>
      <c r="U112" s="1258"/>
    </row>
    <row r="113" spans="1:21" s="1" customFormat="1" ht="12.75" customHeight="1">
      <c r="A113" s="749">
        <v>43132</v>
      </c>
      <c r="B113" s="1834">
        <v>26</v>
      </c>
      <c r="C113" s="1833">
        <v>124</v>
      </c>
      <c r="D113" s="1833">
        <v>54</v>
      </c>
      <c r="E113" s="720">
        <v>41</v>
      </c>
      <c r="F113" s="1832">
        <v>1</v>
      </c>
      <c r="G113" s="1835">
        <v>3</v>
      </c>
      <c r="H113" s="1835">
        <v>0</v>
      </c>
      <c r="I113" s="1757">
        <v>0</v>
      </c>
      <c r="J113" s="724">
        <v>24</v>
      </c>
      <c r="K113" s="1836">
        <v>11</v>
      </c>
      <c r="L113" s="1837">
        <v>0</v>
      </c>
      <c r="M113" s="521">
        <v>0</v>
      </c>
      <c r="N113" s="2485">
        <v>245</v>
      </c>
      <c r="O113" s="546">
        <v>4</v>
      </c>
      <c r="P113" s="554">
        <v>35</v>
      </c>
      <c r="Q113" s="1258"/>
      <c r="R113" s="1258"/>
      <c r="S113" s="1258"/>
      <c r="T113" s="4"/>
      <c r="U113" s="4"/>
    </row>
    <row r="114" spans="1:21" s="1257" customFormat="1" ht="12.75" customHeight="1">
      <c r="A114" s="749">
        <v>43160</v>
      </c>
      <c r="B114" s="1834">
        <v>27</v>
      </c>
      <c r="C114" s="1833">
        <v>127</v>
      </c>
      <c r="D114" s="1833">
        <v>55</v>
      </c>
      <c r="E114" s="720">
        <v>41</v>
      </c>
      <c r="F114" s="1832">
        <v>1</v>
      </c>
      <c r="G114" s="1835">
        <v>3</v>
      </c>
      <c r="H114" s="1835">
        <v>0</v>
      </c>
      <c r="I114" s="1757">
        <v>0</v>
      </c>
      <c r="J114" s="724">
        <v>24</v>
      </c>
      <c r="K114" s="1836">
        <v>12</v>
      </c>
      <c r="L114" s="1837">
        <v>0</v>
      </c>
      <c r="M114" s="521">
        <v>0</v>
      </c>
      <c r="N114" s="2485">
        <v>250</v>
      </c>
      <c r="O114" s="546">
        <v>4</v>
      </c>
      <c r="P114" s="554">
        <v>36</v>
      </c>
      <c r="Q114" s="1258"/>
      <c r="R114" s="1258"/>
      <c r="S114" s="1258"/>
      <c r="T114" s="1258"/>
      <c r="U114" s="1258"/>
    </row>
    <row r="115" spans="1:21" s="1820" customFormat="1" ht="12.75" customHeight="1">
      <c r="A115" s="749">
        <v>43191</v>
      </c>
      <c r="B115" s="1834">
        <v>27</v>
      </c>
      <c r="C115" s="1833">
        <v>130</v>
      </c>
      <c r="D115" s="1833">
        <v>51</v>
      </c>
      <c r="E115" s="720">
        <v>40</v>
      </c>
      <c r="F115" s="1832">
        <v>1</v>
      </c>
      <c r="G115" s="1835">
        <v>3</v>
      </c>
      <c r="H115" s="1835">
        <v>0</v>
      </c>
      <c r="I115" s="1757">
        <v>0</v>
      </c>
      <c r="J115" s="724">
        <v>22</v>
      </c>
      <c r="K115" s="1836">
        <v>12</v>
      </c>
      <c r="L115" s="1837">
        <v>0</v>
      </c>
      <c r="M115" s="521">
        <v>0</v>
      </c>
      <c r="N115" s="2485">
        <f>B115+C115+D115+E115</f>
        <v>248</v>
      </c>
      <c r="O115" s="546">
        <f>F115+G115+H115</f>
        <v>4</v>
      </c>
      <c r="P115" s="554">
        <f>J115+K115+L115+M115</f>
        <v>34</v>
      </c>
      <c r="Q115" s="1821"/>
      <c r="R115" s="1821"/>
      <c r="S115" s="1821"/>
      <c r="T115" s="1821"/>
      <c r="U115" s="1821"/>
    </row>
    <row r="116" spans="1:21" s="2638" customFormat="1" ht="12.75" customHeight="1">
      <c r="A116" s="749">
        <v>43221</v>
      </c>
      <c r="B116" s="1834">
        <v>29</v>
      </c>
      <c r="C116" s="1833">
        <v>130</v>
      </c>
      <c r="D116" s="1833">
        <v>56</v>
      </c>
      <c r="E116" s="720">
        <v>41</v>
      </c>
      <c r="F116" s="2690">
        <v>1</v>
      </c>
      <c r="G116" s="1835">
        <v>3</v>
      </c>
      <c r="H116" s="1835">
        <v>0</v>
      </c>
      <c r="I116" s="1757">
        <v>0</v>
      </c>
      <c r="J116" s="724">
        <v>24</v>
      </c>
      <c r="K116" s="1836">
        <v>12</v>
      </c>
      <c r="L116" s="1837">
        <v>0</v>
      </c>
      <c r="M116" s="521">
        <v>0</v>
      </c>
      <c r="N116" s="2485">
        <f>B116+C116+D116+E116</f>
        <v>256</v>
      </c>
      <c r="O116" s="546">
        <f>F116+G116+H116</f>
        <v>4</v>
      </c>
      <c r="P116" s="554">
        <f>J116+K116+L116+M116</f>
        <v>36</v>
      </c>
      <c r="Q116" s="2639"/>
      <c r="R116" s="2639"/>
      <c r="S116" s="2639"/>
      <c r="T116" s="2639"/>
      <c r="U116" s="2639"/>
    </row>
    <row r="117" spans="1:21" s="2638" customFormat="1" ht="12.75" customHeight="1">
      <c r="A117" s="749">
        <v>43252</v>
      </c>
      <c r="B117" s="2725">
        <v>29</v>
      </c>
      <c r="C117" s="2724">
        <v>132</v>
      </c>
      <c r="D117" s="2724">
        <v>56</v>
      </c>
      <c r="E117" s="720">
        <v>41</v>
      </c>
      <c r="F117" s="2722">
        <v>1</v>
      </c>
      <c r="G117" s="2726">
        <v>3</v>
      </c>
      <c r="H117" s="2726">
        <v>0</v>
      </c>
      <c r="I117" s="1757">
        <v>0</v>
      </c>
      <c r="J117" s="724">
        <v>24</v>
      </c>
      <c r="K117" s="2727">
        <v>12</v>
      </c>
      <c r="L117" s="2728">
        <v>0</v>
      </c>
      <c r="M117" s="521">
        <v>0</v>
      </c>
      <c r="N117" s="2485">
        <v>258</v>
      </c>
      <c r="O117" s="546">
        <v>4</v>
      </c>
      <c r="P117" s="554">
        <v>36</v>
      </c>
      <c r="Q117" s="2639"/>
      <c r="R117" s="2639"/>
      <c r="S117" s="2639"/>
      <c r="T117" s="2639"/>
      <c r="U117" s="2639"/>
    </row>
    <row r="118" spans="1:21" s="2638" customFormat="1" ht="12.75" customHeight="1">
      <c r="A118" s="749">
        <v>43282</v>
      </c>
      <c r="B118" s="600">
        <v>31</v>
      </c>
      <c r="C118" s="1825">
        <v>137</v>
      </c>
      <c r="D118" s="1825">
        <v>57</v>
      </c>
      <c r="E118" s="721">
        <v>41</v>
      </c>
      <c r="F118" s="2707">
        <v>1</v>
      </c>
      <c r="G118" s="2743">
        <v>3</v>
      </c>
      <c r="H118" s="2743">
        <v>1</v>
      </c>
      <c r="I118" s="2744">
        <v>0</v>
      </c>
      <c r="J118" s="1793">
        <v>24</v>
      </c>
      <c r="K118" s="2745">
        <v>12</v>
      </c>
      <c r="L118" s="1978">
        <v>0</v>
      </c>
      <c r="M118" s="2746">
        <v>0</v>
      </c>
      <c r="N118" s="2594">
        <v>266</v>
      </c>
      <c r="O118" s="2480">
        <v>5</v>
      </c>
      <c r="P118" s="2481">
        <v>36</v>
      </c>
      <c r="Q118" s="2639"/>
      <c r="R118" s="2639"/>
      <c r="S118" s="2639"/>
      <c r="T118" s="2639"/>
      <c r="U118" s="2639"/>
    </row>
    <row r="119" spans="1:21" s="2638" customFormat="1" ht="12.75" customHeight="1">
      <c r="A119" s="749">
        <v>43313</v>
      </c>
      <c r="B119" s="600">
        <v>31</v>
      </c>
      <c r="C119" s="1825">
        <v>136</v>
      </c>
      <c r="D119" s="1825">
        <v>57</v>
      </c>
      <c r="E119" s="721">
        <v>41</v>
      </c>
      <c r="F119" s="2707">
        <v>1</v>
      </c>
      <c r="G119" s="2743">
        <v>3</v>
      </c>
      <c r="H119" s="2743">
        <v>1</v>
      </c>
      <c r="I119" s="2744">
        <v>0</v>
      </c>
      <c r="J119" s="1793">
        <v>26</v>
      </c>
      <c r="K119" s="2745">
        <v>13</v>
      </c>
      <c r="L119" s="1978">
        <v>0</v>
      </c>
      <c r="M119" s="2746">
        <v>0</v>
      </c>
      <c r="N119" s="2594">
        <v>265</v>
      </c>
      <c r="O119" s="2480">
        <v>5</v>
      </c>
      <c r="P119" s="2481">
        <v>39</v>
      </c>
      <c r="Q119" s="2639"/>
      <c r="R119" s="2639"/>
      <c r="S119" s="2639"/>
      <c r="T119" s="2639"/>
      <c r="U119" s="2639"/>
    </row>
    <row r="120" spans="1:21" s="1820" customFormat="1" ht="12.75" customHeight="1">
      <c r="A120" s="749">
        <v>43344</v>
      </c>
      <c r="B120" s="2813">
        <v>32</v>
      </c>
      <c r="C120" s="2813">
        <v>138</v>
      </c>
      <c r="D120" s="2813">
        <v>56</v>
      </c>
      <c r="E120" s="2814">
        <v>41</v>
      </c>
      <c r="F120" s="2813">
        <v>1</v>
      </c>
      <c r="G120" s="2816">
        <v>3</v>
      </c>
      <c r="H120" s="2815">
        <v>1</v>
      </c>
      <c r="I120" s="2815">
        <v>0</v>
      </c>
      <c r="J120" s="2813">
        <v>26</v>
      </c>
      <c r="K120" s="2813">
        <v>14</v>
      </c>
      <c r="L120" s="2813">
        <v>1</v>
      </c>
      <c r="M120" s="2813">
        <v>0</v>
      </c>
      <c r="N120" s="2817">
        <v>267</v>
      </c>
      <c r="O120" s="2812">
        <v>5</v>
      </c>
      <c r="P120" s="2812">
        <v>41</v>
      </c>
      <c r="Q120" s="1830"/>
      <c r="R120" s="1830"/>
      <c r="S120" s="1830"/>
      <c r="T120" s="1830"/>
      <c r="U120" s="1830"/>
    </row>
    <row r="121" spans="1:21" s="1" customFormat="1" ht="19.5" customHeight="1">
      <c r="A121" s="548"/>
      <c r="B121" s="549"/>
      <c r="C121" s="549"/>
      <c r="D121" s="549"/>
      <c r="E121" s="549"/>
      <c r="F121" s="550"/>
      <c r="G121" s="551"/>
      <c r="H121" s="551"/>
      <c r="I121" s="551"/>
      <c r="J121" s="374"/>
      <c r="K121" s="552"/>
      <c r="L121" s="122"/>
      <c r="M121" s="27"/>
      <c r="N121" s="1258"/>
      <c r="O121" s="1258"/>
      <c r="P121" s="1258"/>
      <c r="Q121" s="1258"/>
      <c r="R121" s="1258"/>
      <c r="S121" s="1258"/>
      <c r="T121" s="4"/>
      <c r="U121" s="4"/>
    </row>
    <row r="122" spans="1:21" s="1" customFormat="1" ht="19.5" customHeight="1">
      <c r="A122" s="548"/>
      <c r="B122" s="549"/>
      <c r="C122" s="549"/>
      <c r="D122" s="549"/>
      <c r="E122" s="549"/>
      <c r="F122" s="550"/>
      <c r="G122" s="551"/>
      <c r="H122" s="551"/>
      <c r="I122" s="551"/>
      <c r="J122" s="374"/>
      <c r="K122" s="552"/>
      <c r="L122" s="122"/>
      <c r="M122" s="27"/>
      <c r="N122" s="1258"/>
      <c r="O122" s="1258"/>
      <c r="P122" s="1258"/>
      <c r="Q122" s="1258"/>
      <c r="R122" s="1258"/>
      <c r="S122" s="1258"/>
      <c r="T122" s="4"/>
      <c r="U122" s="4"/>
    </row>
    <row r="123" spans="1:21" s="1" customFormat="1" ht="19.5" customHeight="1">
      <c r="A123" s="548"/>
      <c r="B123" s="549"/>
      <c r="C123" s="549"/>
      <c r="D123" s="549"/>
      <c r="E123" s="549"/>
      <c r="F123" s="550"/>
      <c r="G123" s="551"/>
      <c r="H123" s="551"/>
      <c r="I123" s="551"/>
      <c r="J123" s="374"/>
      <c r="K123" s="552"/>
      <c r="L123" s="122"/>
      <c r="M123" s="27"/>
      <c r="N123" s="1258"/>
      <c r="O123" s="1258"/>
      <c r="P123" s="1258"/>
      <c r="Q123" s="1258"/>
      <c r="R123" s="1258"/>
      <c r="S123" s="1258"/>
      <c r="T123" s="4"/>
      <c r="U123" s="4"/>
    </row>
    <row r="124" spans="1:21" s="1" customFormat="1" ht="19.5" customHeight="1">
      <c r="A124" s="548"/>
      <c r="B124" s="549"/>
      <c r="C124" s="549"/>
      <c r="D124" s="549"/>
      <c r="E124" s="549"/>
      <c r="F124" s="550"/>
      <c r="G124" s="551"/>
      <c r="H124" s="551"/>
      <c r="I124" s="551"/>
      <c r="J124" s="374"/>
      <c r="K124" s="552"/>
      <c r="L124" s="122"/>
      <c r="M124" s="27"/>
      <c r="N124" s="1258"/>
      <c r="O124" s="1258"/>
      <c r="P124" s="1258"/>
      <c r="Q124" s="1258"/>
      <c r="R124" s="1258"/>
      <c r="S124" s="1258"/>
      <c r="T124" s="4"/>
      <c r="U124" s="4"/>
    </row>
    <row r="125" spans="1:21" s="1" customFormat="1" ht="19.5" customHeight="1">
      <c r="A125" s="548"/>
      <c r="B125" s="549"/>
      <c r="C125" s="549"/>
      <c r="D125" s="549"/>
      <c r="E125" s="549"/>
      <c r="F125" s="550"/>
      <c r="G125" s="551"/>
      <c r="H125" s="551"/>
      <c r="I125" s="551"/>
      <c r="J125" s="374"/>
      <c r="K125" s="552"/>
      <c r="L125" s="122"/>
      <c r="M125" s="27"/>
      <c r="N125" s="1258"/>
      <c r="O125" s="1258"/>
      <c r="P125" s="1258"/>
      <c r="Q125" s="1258"/>
      <c r="R125" s="1258"/>
      <c r="S125" s="1258"/>
      <c r="T125" s="4"/>
      <c r="U125" s="4"/>
    </row>
    <row r="126" spans="1:21" s="1" customFormat="1" ht="19.5" customHeight="1">
      <c r="A126" s="548"/>
      <c r="B126" s="549"/>
      <c r="C126" s="549"/>
      <c r="D126" s="549"/>
      <c r="E126" s="549"/>
      <c r="F126" s="550"/>
      <c r="G126" s="551"/>
      <c r="H126" s="551"/>
      <c r="I126" s="551"/>
      <c r="J126" s="374"/>
      <c r="K126" s="552"/>
      <c r="L126" s="122"/>
      <c r="M126" s="27"/>
      <c r="N126" s="1258"/>
      <c r="O126" s="1258"/>
      <c r="P126" s="1258"/>
      <c r="Q126" s="1258"/>
      <c r="R126" s="1258"/>
      <c r="S126" s="1258"/>
      <c r="T126" s="4"/>
      <c r="U126" s="4"/>
    </row>
    <row r="127" spans="1:21" s="1" customFormat="1" ht="19.5" customHeight="1">
      <c r="A127" s="548"/>
      <c r="B127" s="549"/>
      <c r="C127" s="549"/>
      <c r="D127" s="549"/>
      <c r="E127" s="549"/>
      <c r="F127" s="550"/>
      <c r="G127" s="551"/>
      <c r="H127" s="551"/>
      <c r="I127" s="551"/>
      <c r="J127" s="374"/>
      <c r="K127" s="552"/>
      <c r="L127" s="122"/>
      <c r="M127" s="27"/>
      <c r="N127" s="1258"/>
      <c r="O127" s="1258"/>
      <c r="P127" s="1258"/>
      <c r="Q127" s="1258"/>
      <c r="R127" s="1258"/>
      <c r="S127" s="1258"/>
      <c r="T127" s="4"/>
      <c r="U127" s="4"/>
    </row>
    <row r="128" spans="1:21" s="1" customFormat="1" ht="19.5" customHeight="1">
      <c r="A128" s="548"/>
      <c r="B128" s="549"/>
      <c r="C128" s="549"/>
      <c r="D128" s="549"/>
      <c r="E128" s="549"/>
      <c r="F128" s="550"/>
      <c r="G128" s="551"/>
      <c r="H128" s="551"/>
      <c r="I128" s="551"/>
      <c r="J128" s="374"/>
      <c r="K128" s="552"/>
      <c r="L128" s="122"/>
      <c r="M128" s="27"/>
      <c r="N128" s="1258"/>
      <c r="O128" s="1258"/>
      <c r="P128" s="1258"/>
      <c r="Q128" s="1258"/>
      <c r="R128" s="1258"/>
      <c r="S128" s="1258"/>
      <c r="T128" s="4"/>
      <c r="U128" s="4"/>
    </row>
    <row r="129" spans="1:32" s="1" customFormat="1" ht="19.5" customHeight="1">
      <c r="A129" s="548"/>
      <c r="B129" s="549"/>
      <c r="C129" s="549"/>
      <c r="D129" s="549"/>
      <c r="E129" s="549"/>
      <c r="F129" s="550"/>
      <c r="G129" s="551"/>
      <c r="H129" s="551"/>
      <c r="I129" s="551"/>
      <c r="J129" s="374"/>
      <c r="K129" s="552"/>
      <c r="L129" s="122"/>
      <c r="M129" s="27"/>
      <c r="N129" s="1258"/>
      <c r="O129" s="1258"/>
      <c r="P129" s="1258"/>
      <c r="Q129" s="1258"/>
      <c r="R129" s="1258"/>
      <c r="S129" s="1258"/>
      <c r="T129" s="4"/>
      <c r="U129" s="4"/>
    </row>
    <row r="130" spans="1:32" s="1" customFormat="1" ht="19.5" customHeight="1">
      <c r="A130" s="548"/>
      <c r="B130" s="549"/>
      <c r="C130" s="549"/>
      <c r="D130" s="549"/>
      <c r="E130" s="549"/>
      <c r="F130" s="550"/>
      <c r="G130" s="551"/>
      <c r="H130" s="551"/>
      <c r="I130" s="551"/>
      <c r="J130" s="374"/>
      <c r="K130" s="552"/>
      <c r="L130" s="122"/>
      <c r="M130" s="27"/>
      <c r="N130" s="1258"/>
      <c r="O130" s="1258"/>
      <c r="P130" s="1258"/>
      <c r="Q130" s="1258"/>
      <c r="R130" s="1258"/>
      <c r="S130" s="1258"/>
      <c r="T130" s="4"/>
      <c r="U130" s="4"/>
    </row>
    <row r="131" spans="1:32" s="1" customFormat="1" ht="19.5" customHeight="1">
      <c r="A131" s="548"/>
      <c r="B131" s="549"/>
      <c r="C131" s="549"/>
      <c r="D131" s="549"/>
      <c r="E131" s="549"/>
      <c r="F131" s="550"/>
      <c r="G131" s="551"/>
      <c r="H131" s="551"/>
      <c r="I131" s="551"/>
      <c r="J131" s="374"/>
      <c r="K131" s="552"/>
      <c r="L131" s="122"/>
      <c r="M131" s="27"/>
      <c r="N131" s="1258"/>
      <c r="O131" s="1258"/>
      <c r="P131" s="1258"/>
      <c r="Q131" s="1258"/>
      <c r="R131" s="1258"/>
      <c r="S131" s="1258"/>
      <c r="T131" s="4"/>
      <c r="U131" s="4"/>
    </row>
    <row r="132" spans="1:32" s="1" customFormat="1" ht="19.5" customHeight="1">
      <c r="A132" s="548"/>
      <c r="B132" s="549"/>
      <c r="C132" s="549"/>
      <c r="D132" s="549"/>
      <c r="E132" s="549"/>
      <c r="F132" s="550"/>
      <c r="G132" s="551"/>
      <c r="H132" s="551"/>
      <c r="I132" s="551"/>
      <c r="J132" s="374"/>
      <c r="K132" s="552"/>
      <c r="L132" s="122"/>
      <c r="M132" s="27"/>
      <c r="N132" s="1258"/>
      <c r="O132" s="1258"/>
      <c r="P132" s="1258"/>
      <c r="Q132" s="1258"/>
      <c r="R132" s="1258"/>
      <c r="S132" s="1258"/>
      <c r="T132" s="4"/>
      <c r="U132" s="4"/>
    </row>
    <row r="133" spans="1:32" s="1" customFormat="1" ht="19.5" customHeight="1">
      <c r="A133" s="548"/>
      <c r="B133" s="549"/>
      <c r="C133" s="549"/>
      <c r="D133" s="549"/>
      <c r="E133" s="549"/>
      <c r="F133" s="550"/>
      <c r="G133" s="551"/>
      <c r="H133" s="551"/>
      <c r="I133" s="551"/>
      <c r="J133" s="374"/>
      <c r="K133" s="552"/>
      <c r="L133" s="122"/>
      <c r="M133" s="27"/>
      <c r="N133" s="1258"/>
      <c r="O133" s="1258"/>
      <c r="P133" s="1258"/>
      <c r="Q133" s="1258"/>
      <c r="R133" s="1258"/>
      <c r="S133" s="1258"/>
      <c r="T133" s="4"/>
      <c r="U133" s="4"/>
    </row>
    <row r="134" spans="1:32" s="1" customFormat="1" ht="19.5" customHeight="1">
      <c r="A134" s="548"/>
      <c r="B134" s="549"/>
      <c r="C134" s="549"/>
      <c r="D134" s="549"/>
      <c r="E134" s="549"/>
      <c r="F134" s="122"/>
      <c r="G134" s="122"/>
      <c r="H134" s="122"/>
      <c r="I134" s="122"/>
      <c r="J134" s="122"/>
      <c r="K134" s="122"/>
      <c r="L134" s="122"/>
      <c r="M134" s="27"/>
      <c r="N134" s="1258"/>
      <c r="O134" s="1258"/>
      <c r="P134" s="1258"/>
      <c r="Q134" s="1258"/>
      <c r="R134" s="1258"/>
      <c r="S134" s="1258"/>
      <c r="T134" s="4"/>
      <c r="U134" s="4"/>
    </row>
    <row r="135" spans="1:32" ht="12.75" thickBot="1">
      <c r="A135" s="8"/>
      <c r="B135" s="8"/>
      <c r="C135" s="8"/>
      <c r="D135" s="8"/>
      <c r="E135" s="8"/>
      <c r="F135" s="8"/>
      <c r="G135" s="8"/>
      <c r="H135" s="8"/>
      <c r="I135" s="8"/>
      <c r="J135" s="8"/>
      <c r="K135" s="8"/>
      <c r="L135" s="8"/>
      <c r="M135" s="8"/>
      <c r="N135" s="8"/>
      <c r="O135" s="8"/>
      <c r="P135" s="8"/>
      <c r="Q135" s="8"/>
      <c r="R135" s="8"/>
      <c r="S135" s="8"/>
      <c r="T135" s="8"/>
      <c r="U135" s="8"/>
    </row>
    <row r="136" spans="1:32" ht="36" customHeight="1" thickBot="1">
      <c r="A136" s="3100" t="s">
        <v>71</v>
      </c>
      <c r="B136" s="3101"/>
      <c r="C136" s="3102"/>
      <c r="D136" s="3661"/>
      <c r="E136" s="3661"/>
      <c r="F136" s="3661"/>
      <c r="G136" s="3661"/>
      <c r="H136" s="3661"/>
      <c r="I136" s="3661"/>
      <c r="J136" s="3661"/>
      <c r="K136" s="3661"/>
      <c r="L136" s="3661"/>
      <c r="M136" s="3661"/>
      <c r="N136" s="3661"/>
      <c r="O136" s="3661"/>
      <c r="P136" s="3661"/>
      <c r="Q136" s="3661"/>
      <c r="R136" s="3661"/>
      <c r="S136" s="3662"/>
    </row>
    <row r="137" spans="1:32">
      <c r="A137" s="538"/>
      <c r="B137" s="531"/>
      <c r="C137" s="531"/>
      <c r="D137" s="531"/>
      <c r="E137" s="531"/>
      <c r="F137" s="531"/>
      <c r="G137" s="531"/>
      <c r="H137" s="531"/>
      <c r="I137" s="531"/>
      <c r="J137" s="531"/>
      <c r="K137" s="531"/>
      <c r="L137" s="531"/>
      <c r="M137" s="531"/>
      <c r="N137" s="531"/>
      <c r="P137" s="531"/>
      <c r="Q137" s="531"/>
      <c r="R137" s="531"/>
    </row>
    <row r="138" spans="1:32">
      <c r="A138" s="538"/>
      <c r="B138" s="531"/>
      <c r="C138" s="531"/>
      <c r="D138" s="531"/>
      <c r="E138" s="531"/>
      <c r="F138" s="531"/>
      <c r="G138" s="531"/>
      <c r="H138" s="531"/>
      <c r="I138" s="531"/>
      <c r="J138" s="531"/>
      <c r="K138" s="531"/>
      <c r="L138" s="531"/>
      <c r="M138" s="531"/>
      <c r="N138" s="531"/>
      <c r="P138" s="531"/>
      <c r="Q138" s="531"/>
      <c r="R138" s="531"/>
    </row>
    <row r="139" spans="1:32">
      <c r="A139" s="538"/>
      <c r="B139" s="531"/>
      <c r="C139" s="531"/>
      <c r="D139" s="531"/>
      <c r="E139" s="531"/>
      <c r="F139" s="531"/>
      <c r="G139" s="531"/>
      <c r="H139" s="531"/>
      <c r="I139" s="531"/>
      <c r="J139" s="531"/>
      <c r="K139" s="531"/>
      <c r="L139" s="531"/>
      <c r="M139" s="531"/>
      <c r="N139" s="531"/>
      <c r="P139" s="531"/>
      <c r="Q139" s="531"/>
      <c r="R139" s="531"/>
    </row>
    <row r="140" spans="1:32">
      <c r="A140" s="538"/>
      <c r="B140" s="531"/>
      <c r="C140" s="531"/>
      <c r="D140" s="531"/>
      <c r="E140" s="531"/>
      <c r="F140" s="531"/>
      <c r="G140" s="531"/>
      <c r="H140" s="531"/>
      <c r="I140" s="531"/>
      <c r="J140" s="531"/>
      <c r="K140" s="531"/>
      <c r="L140" s="531"/>
      <c r="M140" s="531"/>
      <c r="N140" s="531"/>
      <c r="P140" s="531"/>
      <c r="Q140" s="531"/>
      <c r="R140" s="531"/>
    </row>
    <row r="141" spans="1:32">
      <c r="A141" s="538"/>
      <c r="B141" s="531"/>
      <c r="C141" s="531"/>
      <c r="D141" s="531"/>
      <c r="E141" s="531"/>
      <c r="F141" s="531"/>
      <c r="G141" s="531"/>
      <c r="H141" s="531"/>
      <c r="I141" s="531"/>
      <c r="J141" s="531"/>
      <c r="K141" s="531"/>
      <c r="L141" s="531"/>
      <c r="M141" s="531"/>
      <c r="N141" s="531"/>
      <c r="P141" s="531"/>
      <c r="Q141" s="531"/>
      <c r="R141" s="531"/>
    </row>
    <row r="142" spans="1:32">
      <c r="A142" s="538"/>
      <c r="B142" s="531"/>
      <c r="C142" s="531"/>
      <c r="D142" s="531"/>
      <c r="E142" s="531"/>
      <c r="F142" s="531"/>
      <c r="G142" s="531"/>
      <c r="H142" s="531"/>
      <c r="I142" s="531"/>
      <c r="J142" s="531"/>
      <c r="K142" s="531"/>
      <c r="L142" s="531"/>
      <c r="M142" s="531"/>
      <c r="N142" s="531"/>
      <c r="P142" s="531"/>
      <c r="Q142" s="531"/>
      <c r="R142" s="531"/>
    </row>
    <row r="143" spans="1:32">
      <c r="A143" s="531"/>
      <c r="B143" s="531"/>
      <c r="C143" s="531"/>
      <c r="D143" s="531"/>
      <c r="E143" s="531"/>
      <c r="F143" s="531"/>
      <c r="G143" s="531"/>
      <c r="H143" s="531"/>
      <c r="I143" s="531"/>
      <c r="J143" s="531"/>
      <c r="K143" s="531"/>
      <c r="L143" s="531"/>
      <c r="M143" s="531"/>
      <c r="N143" s="531"/>
      <c r="P143" s="531"/>
      <c r="Q143" s="531"/>
      <c r="R143" s="531"/>
    </row>
    <row r="144" spans="1:32" s="531" customFormat="1">
      <c r="S144" s="538"/>
      <c r="V144" s="532"/>
      <c r="W144" s="532"/>
      <c r="X144" s="532"/>
      <c r="Y144" s="532"/>
      <c r="Z144" s="532"/>
      <c r="AA144" s="532"/>
      <c r="AB144" s="532"/>
      <c r="AC144" s="532"/>
      <c r="AD144" s="532"/>
      <c r="AE144" s="532"/>
      <c r="AF144" s="532"/>
    </row>
    <row r="280" spans="1:21">
      <c r="B280" s="540"/>
      <c r="C280" s="540"/>
      <c r="D280" s="540"/>
      <c r="E280" s="540"/>
      <c r="F280" s="540"/>
      <c r="G280" s="540"/>
      <c r="H280" s="540"/>
      <c r="I280" s="540"/>
      <c r="J280" s="540"/>
      <c r="K280" s="540"/>
      <c r="L280" s="540"/>
      <c r="M280" s="540"/>
      <c r="N280" s="540"/>
      <c r="O280" s="540"/>
      <c r="P280" s="540"/>
    </row>
    <row r="281" spans="1:21">
      <c r="A281" s="539"/>
      <c r="B281" s="531"/>
      <c r="C281" s="531"/>
      <c r="D281" s="531"/>
      <c r="E281" s="531"/>
      <c r="F281" s="531"/>
      <c r="G281" s="531"/>
      <c r="H281" s="531"/>
      <c r="I281" s="531"/>
      <c r="J281" s="531"/>
      <c r="K281" s="531"/>
      <c r="L281" s="531"/>
      <c r="M281" s="531"/>
      <c r="N281" s="531"/>
      <c r="P281" s="531"/>
      <c r="Q281" s="540"/>
      <c r="R281" s="540"/>
      <c r="T281" s="532"/>
      <c r="U281" s="532"/>
    </row>
    <row r="282" spans="1:21">
      <c r="A282" s="538"/>
      <c r="B282" s="531"/>
      <c r="C282" s="531"/>
      <c r="D282" s="531"/>
      <c r="E282" s="531"/>
      <c r="F282" s="531"/>
      <c r="G282" s="531"/>
      <c r="H282" s="531"/>
      <c r="I282" s="531"/>
      <c r="J282" s="531"/>
      <c r="K282" s="531"/>
      <c r="L282" s="531"/>
      <c r="M282" s="531"/>
      <c r="N282" s="531"/>
      <c r="P282" s="531"/>
      <c r="Q282" s="531"/>
      <c r="R282" s="531"/>
      <c r="T282" s="532"/>
      <c r="U282" s="532"/>
    </row>
    <row r="283" spans="1:21">
      <c r="A283" s="538"/>
      <c r="B283" s="531"/>
      <c r="C283" s="531"/>
      <c r="D283" s="531"/>
      <c r="E283" s="531"/>
      <c r="F283" s="531"/>
      <c r="G283" s="531"/>
      <c r="H283" s="531"/>
      <c r="I283" s="531"/>
      <c r="J283" s="531"/>
      <c r="K283" s="531"/>
      <c r="L283" s="531"/>
      <c r="M283" s="531"/>
      <c r="N283" s="531"/>
      <c r="P283" s="531"/>
      <c r="Q283" s="531"/>
      <c r="R283" s="531"/>
      <c r="T283" s="532"/>
      <c r="U283" s="532"/>
    </row>
    <row r="284" spans="1:21">
      <c r="A284" s="538"/>
      <c r="B284" s="531"/>
      <c r="C284" s="531"/>
      <c r="D284" s="531"/>
      <c r="E284" s="531"/>
      <c r="F284" s="531"/>
      <c r="G284" s="531"/>
      <c r="H284" s="531"/>
      <c r="I284" s="531"/>
      <c r="J284" s="531"/>
      <c r="K284" s="531"/>
      <c r="L284" s="531"/>
      <c r="M284" s="531"/>
      <c r="N284" s="531"/>
      <c r="P284" s="531"/>
      <c r="Q284" s="531"/>
      <c r="R284" s="531"/>
      <c r="T284" s="532"/>
      <c r="U284" s="532"/>
    </row>
    <row r="285" spans="1:21">
      <c r="A285" s="538"/>
      <c r="B285" s="531"/>
      <c r="C285" s="531"/>
      <c r="D285" s="531"/>
      <c r="E285" s="531"/>
      <c r="F285" s="531"/>
      <c r="G285" s="531"/>
      <c r="H285" s="531"/>
      <c r="I285" s="531"/>
      <c r="J285" s="531"/>
      <c r="K285" s="531"/>
      <c r="L285" s="531"/>
      <c r="M285" s="531"/>
      <c r="N285" s="531"/>
      <c r="P285" s="531"/>
      <c r="Q285" s="531"/>
      <c r="R285" s="531"/>
      <c r="T285" s="532"/>
      <c r="U285" s="532"/>
    </row>
    <row r="286" spans="1:21">
      <c r="A286" s="538"/>
      <c r="B286" s="531"/>
      <c r="C286" s="531"/>
      <c r="D286" s="531"/>
      <c r="E286" s="531"/>
      <c r="F286" s="531"/>
      <c r="G286" s="531"/>
      <c r="H286" s="531"/>
      <c r="I286" s="531"/>
      <c r="J286" s="531"/>
      <c r="K286" s="531"/>
      <c r="L286" s="531"/>
      <c r="M286" s="531"/>
      <c r="N286" s="531"/>
      <c r="P286" s="531"/>
      <c r="Q286" s="531"/>
      <c r="R286" s="531"/>
      <c r="T286" s="532"/>
      <c r="U286" s="532"/>
    </row>
    <row r="287" spans="1:21">
      <c r="A287" s="538"/>
      <c r="B287" s="531"/>
      <c r="C287" s="531"/>
      <c r="D287" s="531"/>
      <c r="E287" s="531"/>
      <c r="F287" s="531"/>
      <c r="G287" s="531"/>
      <c r="H287" s="531"/>
      <c r="I287" s="531"/>
      <c r="J287" s="531"/>
      <c r="K287" s="531"/>
      <c r="L287" s="531"/>
      <c r="M287" s="531"/>
      <c r="N287" s="531"/>
      <c r="P287" s="531"/>
      <c r="Q287" s="531"/>
      <c r="R287" s="531"/>
      <c r="T287" s="532"/>
      <c r="U287" s="532"/>
    </row>
    <row r="288" spans="1:21">
      <c r="A288" s="538"/>
      <c r="B288" s="531"/>
      <c r="C288" s="531"/>
      <c r="D288" s="531"/>
      <c r="E288" s="531"/>
      <c r="F288" s="531"/>
      <c r="G288" s="531"/>
      <c r="H288" s="531"/>
      <c r="I288" s="531"/>
      <c r="J288" s="531"/>
      <c r="K288" s="531"/>
      <c r="L288" s="531"/>
      <c r="M288" s="531"/>
      <c r="N288" s="531"/>
      <c r="P288" s="531"/>
      <c r="Q288" s="531"/>
      <c r="R288" s="531"/>
      <c r="T288" s="532"/>
      <c r="U288" s="532"/>
    </row>
    <row r="289" spans="1:21">
      <c r="A289" s="538"/>
      <c r="B289" s="531"/>
      <c r="C289" s="531"/>
      <c r="D289" s="531"/>
      <c r="E289" s="531"/>
      <c r="F289" s="531"/>
      <c r="G289" s="531"/>
      <c r="H289" s="531"/>
      <c r="I289" s="531"/>
      <c r="J289" s="531"/>
      <c r="K289" s="531"/>
      <c r="L289" s="531"/>
      <c r="M289" s="531"/>
      <c r="N289" s="531"/>
      <c r="P289" s="531"/>
      <c r="Q289" s="531"/>
      <c r="R289" s="531"/>
      <c r="T289" s="532"/>
      <c r="U289" s="532"/>
    </row>
    <row r="290" spans="1:21">
      <c r="A290" s="538"/>
      <c r="B290" s="531"/>
      <c r="C290" s="531"/>
      <c r="D290" s="531"/>
      <c r="E290" s="531"/>
      <c r="F290" s="531"/>
      <c r="G290" s="531"/>
      <c r="H290" s="531"/>
      <c r="I290" s="531"/>
      <c r="J290" s="531"/>
      <c r="K290" s="531"/>
      <c r="L290" s="531"/>
      <c r="M290" s="531"/>
      <c r="N290" s="531"/>
      <c r="P290" s="531"/>
      <c r="Q290" s="531"/>
      <c r="R290" s="531"/>
      <c r="T290" s="532"/>
      <c r="U290" s="532"/>
    </row>
    <row r="291" spans="1:21">
      <c r="A291" s="538"/>
      <c r="B291" s="531"/>
      <c r="C291" s="531"/>
      <c r="D291" s="531"/>
      <c r="E291" s="531"/>
      <c r="F291" s="531"/>
      <c r="G291" s="531"/>
      <c r="H291" s="531"/>
      <c r="I291" s="531"/>
      <c r="J291" s="531"/>
      <c r="K291" s="531"/>
      <c r="L291" s="531"/>
      <c r="M291" s="531"/>
      <c r="N291" s="531"/>
      <c r="P291" s="531"/>
      <c r="Q291" s="531"/>
      <c r="R291" s="531"/>
      <c r="T291" s="532"/>
      <c r="U291" s="532"/>
    </row>
    <row r="292" spans="1:21">
      <c r="A292" s="538"/>
      <c r="B292" s="531"/>
      <c r="C292" s="531"/>
      <c r="D292" s="531"/>
      <c r="E292" s="531"/>
      <c r="F292" s="531"/>
      <c r="G292" s="531"/>
      <c r="H292" s="531"/>
      <c r="I292" s="531"/>
      <c r="J292" s="531"/>
      <c r="K292" s="531"/>
      <c r="L292" s="531"/>
      <c r="M292" s="531"/>
      <c r="N292" s="531"/>
      <c r="P292" s="531"/>
      <c r="Q292" s="531"/>
      <c r="R292" s="531"/>
      <c r="T292" s="532"/>
      <c r="U292" s="532"/>
    </row>
    <row r="293" spans="1:21">
      <c r="A293" s="538"/>
      <c r="B293" s="531"/>
      <c r="C293" s="531"/>
      <c r="D293" s="531"/>
      <c r="E293" s="531"/>
      <c r="F293" s="531"/>
      <c r="G293" s="531"/>
      <c r="H293" s="531"/>
      <c r="I293" s="531"/>
      <c r="J293" s="531"/>
      <c r="K293" s="531"/>
      <c r="L293" s="531"/>
      <c r="M293" s="531"/>
      <c r="N293" s="531"/>
      <c r="P293" s="531"/>
      <c r="Q293" s="531"/>
      <c r="R293" s="531"/>
      <c r="T293" s="532"/>
      <c r="U293" s="532"/>
    </row>
    <row r="294" spans="1:21">
      <c r="A294" s="538"/>
      <c r="B294" s="531"/>
      <c r="C294" s="531"/>
      <c r="D294" s="531"/>
      <c r="E294" s="531"/>
      <c r="F294" s="531"/>
      <c r="G294" s="531"/>
      <c r="H294" s="531"/>
      <c r="I294" s="531"/>
      <c r="J294" s="531"/>
      <c r="K294" s="531"/>
      <c r="L294" s="531"/>
      <c r="M294" s="531"/>
      <c r="N294" s="531"/>
      <c r="P294" s="531"/>
      <c r="Q294" s="531"/>
      <c r="R294" s="531"/>
      <c r="T294" s="532"/>
      <c r="U294" s="532"/>
    </row>
    <row r="295" spans="1:21">
      <c r="A295" s="538"/>
      <c r="B295" s="531"/>
      <c r="C295" s="531"/>
      <c r="D295" s="531"/>
      <c r="E295" s="531"/>
      <c r="F295" s="531"/>
      <c r="G295" s="531"/>
      <c r="H295" s="531"/>
      <c r="I295" s="531"/>
      <c r="J295" s="531"/>
      <c r="K295" s="531"/>
      <c r="L295" s="531"/>
      <c r="M295" s="531"/>
      <c r="N295" s="531"/>
      <c r="P295" s="531"/>
      <c r="Q295" s="531"/>
      <c r="R295" s="531"/>
      <c r="T295" s="532"/>
      <c r="U295" s="532"/>
    </row>
    <row r="296" spans="1:21">
      <c r="A296" s="538"/>
      <c r="B296" s="531"/>
      <c r="C296" s="531"/>
      <c r="D296" s="531"/>
      <c r="E296" s="531"/>
      <c r="F296" s="531"/>
      <c r="G296" s="531"/>
      <c r="H296" s="531"/>
      <c r="I296" s="531"/>
      <c r="J296" s="531"/>
      <c r="K296" s="531"/>
      <c r="L296" s="531"/>
      <c r="M296" s="531"/>
      <c r="N296" s="531"/>
      <c r="P296" s="531"/>
      <c r="Q296" s="531"/>
      <c r="R296" s="531"/>
      <c r="T296" s="532"/>
      <c r="U296" s="532"/>
    </row>
    <row r="297" spans="1:21">
      <c r="A297" s="538"/>
      <c r="B297" s="531"/>
      <c r="C297" s="531"/>
      <c r="D297" s="531"/>
      <c r="E297" s="531"/>
      <c r="F297" s="531"/>
      <c r="G297" s="531"/>
      <c r="H297" s="531"/>
      <c r="I297" s="531"/>
      <c r="J297" s="531"/>
      <c r="K297" s="531"/>
      <c r="L297" s="531"/>
      <c r="M297" s="531"/>
      <c r="N297" s="531"/>
      <c r="P297" s="531"/>
      <c r="Q297" s="531"/>
      <c r="R297" s="531"/>
      <c r="T297" s="532"/>
      <c r="U297" s="532"/>
    </row>
    <row r="298" spans="1:21">
      <c r="A298" s="538"/>
      <c r="B298" s="531"/>
      <c r="C298" s="531"/>
      <c r="D298" s="531"/>
      <c r="E298" s="531"/>
      <c r="F298" s="531"/>
      <c r="G298" s="531"/>
      <c r="H298" s="531"/>
      <c r="I298" s="531"/>
      <c r="J298" s="531"/>
      <c r="K298" s="531"/>
      <c r="L298" s="531"/>
      <c r="M298" s="531"/>
      <c r="N298" s="531"/>
      <c r="P298" s="531"/>
      <c r="Q298" s="531"/>
      <c r="R298" s="531"/>
      <c r="T298" s="532"/>
      <c r="U298" s="532"/>
    </row>
    <row r="299" spans="1:21">
      <c r="A299" s="538"/>
      <c r="B299" s="531"/>
      <c r="C299" s="531"/>
      <c r="D299" s="531"/>
      <c r="E299" s="531"/>
      <c r="F299" s="531"/>
      <c r="G299" s="531"/>
      <c r="H299" s="531"/>
      <c r="I299" s="531"/>
      <c r="J299" s="531"/>
      <c r="K299" s="531"/>
      <c r="L299" s="531"/>
      <c r="M299" s="531"/>
      <c r="N299" s="531"/>
      <c r="P299" s="531"/>
      <c r="Q299" s="531"/>
      <c r="R299" s="531"/>
      <c r="T299" s="532"/>
      <c r="U299" s="532"/>
    </row>
    <row r="300" spans="1:21">
      <c r="A300" s="538"/>
      <c r="B300" s="542"/>
      <c r="C300" s="542"/>
      <c r="D300" s="542"/>
      <c r="E300" s="542"/>
      <c r="F300" s="542"/>
      <c r="G300" s="542"/>
      <c r="H300" s="542"/>
      <c r="I300" s="542"/>
      <c r="J300" s="542"/>
      <c r="K300" s="542"/>
      <c r="L300" s="542"/>
      <c r="M300" s="542"/>
      <c r="N300" s="542"/>
      <c r="O300" s="542"/>
      <c r="P300" s="542"/>
      <c r="Q300" s="531"/>
      <c r="R300" s="531"/>
      <c r="T300" s="532"/>
      <c r="U300" s="532"/>
    </row>
    <row r="301" spans="1:21">
      <c r="A301" s="541"/>
      <c r="Q301" s="542"/>
      <c r="R301" s="542"/>
      <c r="T301" s="532"/>
      <c r="U301" s="532"/>
    </row>
  </sheetData>
  <mergeCells count="50">
    <mergeCell ref="A136:C136"/>
    <mergeCell ref="D136:S136"/>
    <mergeCell ref="F69:F70"/>
    <mergeCell ref="G69:G70"/>
    <mergeCell ref="H69:H70"/>
    <mergeCell ref="I69:I70"/>
    <mergeCell ref="J69:J70"/>
    <mergeCell ref="K69:K70"/>
    <mergeCell ref="A69:A70"/>
    <mergeCell ref="B69:B70"/>
    <mergeCell ref="C69:C70"/>
    <mergeCell ref="D69:D70"/>
    <mergeCell ref="E69:E70"/>
    <mergeCell ref="L69:L70"/>
    <mergeCell ref="M69:M70"/>
    <mergeCell ref="N69:N70"/>
    <mergeCell ref="A10:C10"/>
    <mergeCell ref="D10:S10"/>
    <mergeCell ref="A11:C11"/>
    <mergeCell ref="D11:S11"/>
    <mergeCell ref="O69:O70"/>
    <mergeCell ref="P69:P70"/>
    <mergeCell ref="A13:J13"/>
    <mergeCell ref="A14:A15"/>
    <mergeCell ref="F14:I14"/>
    <mergeCell ref="J14:J15"/>
    <mergeCell ref="B14:E14"/>
    <mergeCell ref="A67:P67"/>
    <mergeCell ref="B68:E68"/>
    <mergeCell ref="F68:I68"/>
    <mergeCell ref="J68:M68"/>
    <mergeCell ref="N68:P68"/>
    <mergeCell ref="A7:C7"/>
    <mergeCell ref="D7:S7"/>
    <mergeCell ref="A8:C8"/>
    <mergeCell ref="D8:S8"/>
    <mergeCell ref="A9:C9"/>
    <mergeCell ref="D9:S9"/>
    <mergeCell ref="A4:C4"/>
    <mergeCell ref="D4:S4"/>
    <mergeCell ref="A5:C5"/>
    <mergeCell ref="D5:S5"/>
    <mergeCell ref="A6:C6"/>
    <mergeCell ref="D6:S6"/>
    <mergeCell ref="A1:S1"/>
    <mergeCell ref="A2:C2"/>
    <mergeCell ref="D2:Q2"/>
    <mergeCell ref="R2:S2"/>
    <mergeCell ref="A3:C3"/>
    <mergeCell ref="D3:S3"/>
  </mergeCells>
  <printOptions horizontalCentered="1" verticalCentered="1"/>
  <pageMargins left="0.19685039370078741" right="0.19685039370078741" top="0.59055118110236227" bottom="0.39370078740157483" header="0.19685039370078741" footer="0.19685039370078741"/>
  <pageSetup paperSize="9" scale="80" orientation="landscape" r:id="rId1"/>
  <rowBreaks count="1" manualBreakCount="1">
    <brk id="65" max="18" man="1"/>
  </rowBreaks>
  <ignoredErrors>
    <ignoredError sqref="J33:J40 J45:J60" formulaRange="1"/>
  </ignoredError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B1:AA104"/>
  <sheetViews>
    <sheetView showGridLines="0" view="pageBreakPreview" topLeftCell="A70" zoomScale="70" zoomScaleNormal="70" zoomScaleSheetLayoutView="70" workbookViewId="0">
      <selection activeCell="A69" sqref="A69:XFD69"/>
    </sheetView>
  </sheetViews>
  <sheetFormatPr baseColWidth="10" defaultColWidth="12" defaultRowHeight="15"/>
  <cols>
    <col min="1" max="1" width="0.6640625" style="1045" customWidth="1"/>
    <col min="2" max="2" width="27.1640625" style="1045" customWidth="1"/>
    <col min="3" max="3" width="26" style="1045" customWidth="1"/>
    <col min="4" max="4" width="28.6640625" style="1045" bestFit="1" customWidth="1"/>
    <col min="5" max="5" width="19" style="1045" bestFit="1" customWidth="1"/>
    <col min="6" max="6" width="24" style="1045" customWidth="1"/>
    <col min="7" max="7" width="17.5" style="1045" customWidth="1"/>
    <col min="8" max="8" width="16.83203125" style="1045" customWidth="1"/>
    <col min="9" max="9" width="25.1640625" style="1045" bestFit="1" customWidth="1"/>
    <col min="10" max="10" width="25.33203125" style="1045" bestFit="1" customWidth="1"/>
    <col min="11" max="11" width="25.1640625" style="1045" bestFit="1" customWidth="1"/>
    <col min="12" max="12" width="15.6640625" style="1045" bestFit="1" customWidth="1"/>
    <col min="13" max="13" width="19" style="1045" bestFit="1" customWidth="1"/>
    <col min="14" max="14" width="17.83203125" style="1045" bestFit="1" customWidth="1"/>
    <col min="15" max="15" width="17" style="1045" bestFit="1" customWidth="1"/>
    <col min="16" max="16" width="20.83203125" style="1045" customWidth="1"/>
    <col min="17" max="17" width="16.83203125" style="1045" customWidth="1"/>
    <col min="18" max="18" width="12" style="1045"/>
    <col min="19" max="19" width="16.1640625" style="1045" bestFit="1" customWidth="1"/>
    <col min="20" max="20" width="14.5" style="1045" bestFit="1" customWidth="1"/>
    <col min="21" max="16384" width="12" style="1045"/>
  </cols>
  <sheetData>
    <row r="1" spans="2:13" ht="15.75" thickBot="1"/>
    <row r="2" spans="2:13" ht="15.75" thickBot="1">
      <c r="B2" s="3673" t="s">
        <v>7</v>
      </c>
      <c r="C2" s="3674"/>
      <c r="D2" s="3674"/>
      <c r="E2" s="3674"/>
      <c r="F2" s="3674"/>
      <c r="G2" s="3674"/>
      <c r="H2" s="3674"/>
      <c r="I2" s="3674"/>
      <c r="J2" s="3674"/>
      <c r="K2" s="3674"/>
      <c r="L2" s="3674"/>
      <c r="M2" s="3675"/>
    </row>
    <row r="3" spans="2:13" ht="25.5">
      <c r="B3" s="1046" t="s">
        <v>18</v>
      </c>
      <c r="C3" s="1047" t="s">
        <v>376</v>
      </c>
      <c r="D3" s="1048"/>
      <c r="E3" s="1048"/>
      <c r="F3" s="1048"/>
      <c r="G3" s="1048"/>
      <c r="H3" s="1048"/>
      <c r="I3" s="1048"/>
      <c r="J3" s="1048"/>
      <c r="K3" s="1048"/>
      <c r="L3" s="1048"/>
      <c r="M3" s="1049" t="s">
        <v>385</v>
      </c>
    </row>
    <row r="4" spans="2:13">
      <c r="B4" s="1050" t="s">
        <v>17</v>
      </c>
      <c r="C4" s="3676" t="s">
        <v>377</v>
      </c>
      <c r="D4" s="3677"/>
      <c r="E4" s="3677"/>
      <c r="F4" s="3677"/>
      <c r="G4" s="3677"/>
      <c r="H4" s="3677"/>
      <c r="I4" s="3677"/>
      <c r="J4" s="3677"/>
      <c r="K4" s="3677"/>
      <c r="L4" s="3677"/>
      <c r="M4" s="3678"/>
    </row>
    <row r="5" spans="2:13">
      <c r="B5" s="1050" t="s">
        <v>8</v>
      </c>
      <c r="C5" s="3679" t="s">
        <v>333</v>
      </c>
      <c r="D5" s="3680"/>
      <c r="E5" s="3680"/>
      <c r="F5" s="3680"/>
      <c r="G5" s="3680"/>
      <c r="H5" s="3680"/>
      <c r="I5" s="3680"/>
      <c r="J5" s="3680"/>
      <c r="K5" s="3680"/>
      <c r="L5" s="3680"/>
      <c r="M5" s="3681"/>
    </row>
    <row r="6" spans="2:13">
      <c r="B6" s="1050" t="s">
        <v>11</v>
      </c>
      <c r="C6" s="3682" t="s">
        <v>378</v>
      </c>
      <c r="D6" s="3683"/>
      <c r="E6" s="3683"/>
      <c r="F6" s="3683"/>
      <c r="G6" s="3683"/>
      <c r="H6" s="3683"/>
      <c r="I6" s="3683"/>
      <c r="J6" s="3683"/>
      <c r="K6" s="3683"/>
      <c r="L6" s="3683"/>
      <c r="M6" s="3684"/>
    </row>
    <row r="7" spans="2:13">
      <c r="B7" s="1050" t="s">
        <v>16</v>
      </c>
      <c r="C7" s="3682" t="s">
        <v>12</v>
      </c>
      <c r="D7" s="3683"/>
      <c r="E7" s="3683"/>
      <c r="F7" s="3683"/>
      <c r="G7" s="3683"/>
      <c r="H7" s="3683"/>
      <c r="I7" s="3683"/>
      <c r="J7" s="3683"/>
      <c r="K7" s="3683"/>
      <c r="L7" s="3683"/>
      <c r="M7" s="3684"/>
    </row>
    <row r="8" spans="2:13">
      <c r="B8" s="1050" t="s">
        <v>9</v>
      </c>
      <c r="C8" s="3682" t="s">
        <v>379</v>
      </c>
      <c r="D8" s="3683"/>
      <c r="E8" s="3683"/>
      <c r="F8" s="3683"/>
      <c r="G8" s="3683"/>
      <c r="H8" s="3683"/>
      <c r="I8" s="3683"/>
      <c r="J8" s="3683"/>
      <c r="K8" s="3683"/>
      <c r="L8" s="3683"/>
      <c r="M8" s="3684"/>
    </row>
    <row r="9" spans="2:13" ht="27" customHeight="1">
      <c r="B9" s="297" t="s">
        <v>66</v>
      </c>
      <c r="C9" s="3685" t="s">
        <v>380</v>
      </c>
      <c r="D9" s="3686"/>
      <c r="E9" s="3686"/>
      <c r="F9" s="3686"/>
      <c r="G9" s="3686"/>
      <c r="H9" s="3686"/>
      <c r="I9" s="3686"/>
      <c r="J9" s="3686"/>
      <c r="K9" s="3686"/>
      <c r="L9" s="3686"/>
      <c r="M9" s="3687"/>
    </row>
    <row r="10" spans="2:13" ht="25.5" customHeight="1">
      <c r="B10" s="297" t="s">
        <v>67</v>
      </c>
      <c r="C10" s="3685" t="s">
        <v>381</v>
      </c>
      <c r="D10" s="3686"/>
      <c r="E10" s="3686"/>
      <c r="F10" s="3686"/>
      <c r="G10" s="3686"/>
      <c r="H10" s="3686"/>
      <c r="I10" s="3686"/>
      <c r="J10" s="3686"/>
      <c r="K10" s="3686"/>
      <c r="L10" s="3686"/>
      <c r="M10" s="3687"/>
    </row>
    <row r="11" spans="2:13" ht="23.25" customHeight="1">
      <c r="B11" s="297" t="s">
        <v>68</v>
      </c>
      <c r="C11" s="3555" t="s">
        <v>382</v>
      </c>
      <c r="D11" s="3556"/>
      <c r="E11" s="3556"/>
      <c r="F11" s="3556"/>
      <c r="G11" s="3556"/>
      <c r="H11" s="3556"/>
      <c r="I11" s="3556"/>
      <c r="J11" s="3556"/>
      <c r="K11" s="3556"/>
      <c r="L11" s="3556"/>
      <c r="M11" s="3557"/>
    </row>
    <row r="12" spans="2:13" ht="31.5" customHeight="1" thickBot="1">
      <c r="B12" s="1051" t="s">
        <v>21</v>
      </c>
      <c r="C12" s="3688" t="s">
        <v>776</v>
      </c>
      <c r="D12" s="3689"/>
      <c r="E12" s="3689"/>
      <c r="F12" s="3689"/>
      <c r="G12" s="3689"/>
      <c r="H12" s="3689"/>
      <c r="I12" s="3689"/>
      <c r="J12" s="3689"/>
      <c r="K12" s="3689"/>
      <c r="L12" s="3689"/>
      <c r="M12" s="3690"/>
    </row>
    <row r="13" spans="2:13" ht="21" customHeight="1" thickBot="1">
      <c r="B13" s="1052"/>
      <c r="C13" s="1053"/>
      <c r="D13" s="1053"/>
      <c r="E13" s="1053"/>
      <c r="F13" s="1053"/>
      <c r="G13" s="1053"/>
      <c r="H13" s="1053"/>
      <c r="I13" s="1053"/>
      <c r="J13" s="1053"/>
      <c r="K13" s="1053"/>
      <c r="L13" s="1053"/>
      <c r="M13" s="1053"/>
    </row>
    <row r="14" spans="2:13" ht="21" customHeight="1">
      <c r="B14" s="3691" t="s">
        <v>777</v>
      </c>
      <c r="C14" s="3692"/>
      <c r="D14" s="3692"/>
      <c r="E14" s="3692"/>
      <c r="F14" s="3692"/>
      <c r="G14" s="3692"/>
      <c r="H14" s="3692"/>
      <c r="I14" s="3692"/>
      <c r="J14" s="3693"/>
      <c r="K14"/>
      <c r="L14" s="1053"/>
      <c r="M14" s="1053"/>
    </row>
    <row r="15" spans="2:13" ht="42.75" customHeight="1">
      <c r="B15" s="1054" t="s">
        <v>180</v>
      </c>
      <c r="C15" s="1055" t="s">
        <v>368</v>
      </c>
      <c r="D15" s="1055" t="s">
        <v>369</v>
      </c>
      <c r="E15" s="1055" t="s">
        <v>367</v>
      </c>
      <c r="F15" s="1055" t="s">
        <v>372</v>
      </c>
      <c r="G15" s="1055" t="s">
        <v>111</v>
      </c>
      <c r="H15" s="1055" t="s">
        <v>373</v>
      </c>
      <c r="I15" s="1055" t="s">
        <v>371</v>
      </c>
      <c r="J15" s="1056" t="s">
        <v>370</v>
      </c>
    </row>
    <row r="16" spans="2:13" ht="20.100000000000001" customHeight="1">
      <c r="B16" s="1057" t="s">
        <v>203</v>
      </c>
      <c r="C16" s="2747">
        <v>426905.75</v>
      </c>
      <c r="D16" s="2748">
        <v>427556.75</v>
      </c>
      <c r="E16" s="2748">
        <v>426905.75</v>
      </c>
      <c r="F16" s="2748">
        <v>426905.75</v>
      </c>
      <c r="G16" s="2748">
        <v>100</v>
      </c>
      <c r="H16" s="2749">
        <v>0.99847739510602973</v>
      </c>
      <c r="I16" s="2750">
        <v>1</v>
      </c>
      <c r="J16" s="2751">
        <v>0</v>
      </c>
    </row>
    <row r="17" spans="2:13" ht="20.100000000000001" customHeight="1">
      <c r="B17" s="1058" t="s">
        <v>410</v>
      </c>
      <c r="C17" s="2747">
        <v>1010255.3899999999</v>
      </c>
      <c r="D17" s="2748">
        <v>1014354.76</v>
      </c>
      <c r="E17" s="2748">
        <v>976589.9</v>
      </c>
      <c r="F17" s="2748">
        <v>976589.89999999991</v>
      </c>
      <c r="G17" s="2748">
        <v>100</v>
      </c>
      <c r="H17" s="2749">
        <v>0.96276957383233441</v>
      </c>
      <c r="I17" s="2752">
        <v>1</v>
      </c>
      <c r="J17" s="2751">
        <v>0</v>
      </c>
    </row>
    <row r="18" spans="2:13" ht="20.100000000000001" customHeight="1">
      <c r="B18" s="1058" t="s">
        <v>404</v>
      </c>
      <c r="C18" s="2747">
        <v>737124.41</v>
      </c>
      <c r="D18" s="2748">
        <v>752542.58000000007</v>
      </c>
      <c r="E18" s="2748">
        <v>737124.41</v>
      </c>
      <c r="F18" s="2748">
        <v>737124.41</v>
      </c>
      <c r="G18" s="2748">
        <v>100</v>
      </c>
      <c r="H18" s="2749">
        <v>0.97951189685505902</v>
      </c>
      <c r="I18" s="2752">
        <v>1</v>
      </c>
      <c r="J18" s="2751">
        <v>0</v>
      </c>
    </row>
    <row r="19" spans="2:13" s="1059" customFormat="1" ht="20.100000000000001" customHeight="1">
      <c r="B19" s="1057" t="s">
        <v>530</v>
      </c>
      <c r="C19" s="2747">
        <v>1374571.38</v>
      </c>
      <c r="D19" s="2748">
        <v>1434988.1</v>
      </c>
      <c r="E19" s="2748">
        <v>1364940.33</v>
      </c>
      <c r="F19" s="2748">
        <v>1355983.06</v>
      </c>
      <c r="G19" s="2748">
        <v>100</v>
      </c>
      <c r="H19" s="2749">
        <v>0.94494376643262756</v>
      </c>
      <c r="I19" s="2750">
        <v>1</v>
      </c>
      <c r="J19" s="2751">
        <v>8957.2700000000186</v>
      </c>
    </row>
    <row r="20" spans="2:13" s="1059" customFormat="1" ht="20.100000000000001" customHeight="1">
      <c r="B20" s="1058" t="s">
        <v>564</v>
      </c>
      <c r="C20" s="2747">
        <v>831629.13</v>
      </c>
      <c r="D20" s="2748">
        <v>796939.97</v>
      </c>
      <c r="E20" s="2748">
        <v>831629.13</v>
      </c>
      <c r="F20" s="2748">
        <v>796851.56</v>
      </c>
      <c r="G20" s="2748">
        <v>100</v>
      </c>
      <c r="H20" s="2749">
        <v>0.99988906316243631</v>
      </c>
      <c r="I20" s="2750">
        <v>1</v>
      </c>
      <c r="J20" s="2751">
        <v>34777.569999999949</v>
      </c>
    </row>
    <row r="21" spans="2:13" ht="20.100000000000001" customHeight="1" thickBot="1">
      <c r="B21" s="1058" t="s">
        <v>599</v>
      </c>
      <c r="C21" s="2747">
        <v>2053925.49</v>
      </c>
      <c r="D21" s="2748">
        <v>1851821.62</v>
      </c>
      <c r="E21" s="2748">
        <v>1846962.75</v>
      </c>
      <c r="F21" s="2748">
        <v>1696416.06</v>
      </c>
      <c r="G21" s="2748">
        <v>100</v>
      </c>
      <c r="H21" s="2749">
        <v>0.91607962758313621</v>
      </c>
      <c r="I21" s="2733">
        <v>1</v>
      </c>
      <c r="J21" s="2751">
        <v>150546.68999999994</v>
      </c>
    </row>
    <row r="22" spans="2:13" ht="20.100000000000001" customHeight="1" thickBot="1">
      <c r="B22" s="2565" t="s">
        <v>214</v>
      </c>
      <c r="C22" s="2753">
        <v>6434411.5499999998</v>
      </c>
      <c r="D22" s="2753">
        <v>6278203.7800000003</v>
      </c>
      <c r="E22" s="2753">
        <v>6184152.2700000005</v>
      </c>
      <c r="F22" s="2753">
        <v>5989870.7400000002</v>
      </c>
      <c r="G22" s="2753"/>
      <c r="H22" s="2754">
        <v>0.95407395967003794</v>
      </c>
      <c r="I22" s="2754">
        <v>1</v>
      </c>
      <c r="J22" s="2755">
        <v>194281.52999999991</v>
      </c>
    </row>
    <row r="23" spans="2:13" ht="20.100000000000001" customHeight="1">
      <c r="B23" s="1061" t="s">
        <v>868</v>
      </c>
      <c r="C23" s="1062"/>
      <c r="D23" s="1063"/>
      <c r="E23" s="1064"/>
      <c r="F23" s="1065"/>
      <c r="G23" s="1066"/>
      <c r="H23" s="256"/>
      <c r="I23" s="257"/>
      <c r="J23" s="258"/>
      <c r="K23"/>
      <c r="L23" s="1060"/>
      <c r="M23" s="1060"/>
    </row>
    <row r="24" spans="2:13" ht="20.100000000000001" customHeight="1">
      <c r="B24"/>
      <c r="C24"/>
      <c r="D24"/>
      <c r="E24"/>
      <c r="F24"/>
      <c r="G24"/>
      <c r="H24"/>
      <c r="I24"/>
      <c r="J24"/>
      <c r="K24"/>
      <c r="L24" s="1060"/>
      <c r="M24" s="1060"/>
    </row>
    <row r="25" spans="2:13" ht="20.100000000000001" customHeight="1" thickBot="1">
      <c r="B25" s="1052"/>
      <c r="C25" s="1053"/>
      <c r="D25" s="1053"/>
      <c r="E25" s="1053"/>
      <c r="F25" s="1053"/>
      <c r="G25" s="1053"/>
      <c r="H25" s="1053"/>
      <c r="I25" s="1053"/>
      <c r="J25" s="1053"/>
      <c r="K25" s="1053"/>
      <c r="L25" s="1053"/>
      <c r="M25" s="1053"/>
    </row>
    <row r="26" spans="2:13" ht="20.100000000000001" customHeight="1" thickBot="1">
      <c r="B26" s="1052"/>
      <c r="C26" s="3670">
        <v>2014</v>
      </c>
      <c r="D26" s="3671"/>
      <c r="E26" s="3670">
        <v>2015</v>
      </c>
      <c r="F26" s="3672"/>
      <c r="G26" s="3671"/>
      <c r="H26" s="1067">
        <v>2016</v>
      </c>
      <c r="I26" s="1068"/>
      <c r="J26" s="1053"/>
      <c r="K26" s="1053"/>
      <c r="L26" s="1053"/>
      <c r="M26" s="1053"/>
    </row>
    <row r="27" spans="2:13" ht="15.75" thickBot="1">
      <c r="B27" s="1069" t="s">
        <v>180</v>
      </c>
      <c r="C27" s="1070" t="s">
        <v>203</v>
      </c>
      <c r="D27" s="1071" t="s">
        <v>410</v>
      </c>
      <c r="E27" s="1072" t="s">
        <v>404</v>
      </c>
      <c r="F27" s="1070" t="s">
        <v>530</v>
      </c>
      <c r="G27" s="1067" t="s">
        <v>564</v>
      </c>
      <c r="H27" s="1067" t="s">
        <v>599</v>
      </c>
      <c r="I27" s="1068"/>
      <c r="J27" s="258"/>
      <c r="K27" s="1060"/>
      <c r="L27" s="1060"/>
    </row>
    <row r="28" spans="2:13" ht="25.5">
      <c r="B28" s="1073" t="s">
        <v>472</v>
      </c>
      <c r="C28" s="982">
        <v>426905.75</v>
      </c>
      <c r="D28" s="983">
        <v>1010255.3899999999</v>
      </c>
      <c r="E28" s="984">
        <v>737124.41</v>
      </c>
      <c r="F28" s="556">
        <v>1374571.38</v>
      </c>
      <c r="G28" s="673">
        <v>831629.13</v>
      </c>
      <c r="H28" s="1074">
        <v>2053925.49</v>
      </c>
      <c r="I28" s="1075"/>
      <c r="J28" s="258"/>
      <c r="K28" s="1060"/>
      <c r="L28" s="1060"/>
    </row>
    <row r="29" spans="2:13" ht="25.5">
      <c r="B29" s="1076" t="s">
        <v>473</v>
      </c>
      <c r="C29" s="985">
        <v>427556.75</v>
      </c>
      <c r="D29" s="986">
        <v>1014354.76</v>
      </c>
      <c r="E29" s="987">
        <v>752542.58000000007</v>
      </c>
      <c r="F29" s="557">
        <v>1434988.1</v>
      </c>
      <c r="G29" s="674">
        <v>796939.97</v>
      </c>
      <c r="H29" s="1077">
        <v>1851821.62</v>
      </c>
      <c r="I29" s="1163"/>
      <c r="J29" s="258"/>
      <c r="K29" s="1060"/>
      <c r="L29" s="1060"/>
    </row>
    <row r="30" spans="2:13" ht="25.5">
      <c r="B30" s="1076" t="s">
        <v>474</v>
      </c>
      <c r="C30" s="988">
        <v>426905.75</v>
      </c>
      <c r="D30" s="986">
        <v>976589.9</v>
      </c>
      <c r="E30" s="987">
        <v>737124.41</v>
      </c>
      <c r="F30" s="558">
        <v>1364940.33</v>
      </c>
      <c r="G30" s="675">
        <v>831629.13</v>
      </c>
      <c r="H30" s="1077">
        <v>1846962.75</v>
      </c>
      <c r="I30" s="1075"/>
      <c r="J30" s="258"/>
      <c r="K30" s="1060"/>
      <c r="L30" s="1060"/>
    </row>
    <row r="31" spans="2:13">
      <c r="B31" s="1076" t="s">
        <v>370</v>
      </c>
      <c r="C31" s="1078">
        <v>0</v>
      </c>
      <c r="D31" s="1079">
        <v>0</v>
      </c>
      <c r="E31" s="1080">
        <v>0</v>
      </c>
      <c r="F31" s="1078">
        <v>8957.2700000000186</v>
      </c>
      <c r="G31" s="1081">
        <v>34777.569999999949</v>
      </c>
      <c r="H31" s="989">
        <v>150546.68999999994</v>
      </c>
      <c r="I31" s="960"/>
      <c r="J31" s="258"/>
      <c r="K31" s="1060"/>
      <c r="L31" s="1060"/>
    </row>
    <row r="32" spans="2:13" ht="24" customHeight="1" thickBot="1">
      <c r="B32" s="1082" t="s">
        <v>475</v>
      </c>
      <c r="C32" s="1083">
        <v>426905.75</v>
      </c>
      <c r="D32" s="990">
        <v>976589.89999999991</v>
      </c>
      <c r="E32" s="991">
        <v>737124.41</v>
      </c>
      <c r="F32" s="559">
        <v>1355983.06</v>
      </c>
      <c r="G32" s="676">
        <v>796851.56</v>
      </c>
      <c r="H32" s="1084">
        <v>1696416.06</v>
      </c>
      <c r="I32" s="1085"/>
      <c r="J32" s="258"/>
      <c r="K32" s="1060"/>
      <c r="L32" s="1060"/>
    </row>
    <row r="33" spans="2:17" ht="15.75" thickBot="1">
      <c r="B33" s="1060"/>
      <c r="C33" s="1060"/>
      <c r="D33" s="1060"/>
      <c r="E33" s="1060"/>
      <c r="F33" s="1060"/>
      <c r="G33" s="1060"/>
      <c r="H33" s="1060"/>
      <c r="I33" s="1060"/>
      <c r="J33" s="1060"/>
      <c r="K33" s="258"/>
      <c r="L33" s="1060"/>
      <c r="M33" s="1060"/>
    </row>
    <row r="34" spans="2:17" s="1088" customFormat="1" ht="27.75" customHeight="1" thickBot="1">
      <c r="B34" s="3695" t="s">
        <v>338</v>
      </c>
      <c r="C34" s="3698" t="s">
        <v>383</v>
      </c>
      <c r="D34" s="3698"/>
      <c r="E34" s="3698"/>
      <c r="F34" s="3698"/>
      <c r="G34" s="3698"/>
      <c r="H34" s="3699"/>
      <c r="I34" s="3700" t="s">
        <v>384</v>
      </c>
      <c r="J34" s="3700"/>
      <c r="K34" s="3700"/>
      <c r="L34" s="3700"/>
      <c r="M34" s="3700"/>
      <c r="N34" s="3701"/>
      <c r="O34" s="1086"/>
      <c r="P34" s="1086"/>
      <c r="Q34" s="1087"/>
    </row>
    <row r="35" spans="2:17" s="1088" customFormat="1" ht="27.75" customHeight="1" thickBot="1">
      <c r="B35" s="3696"/>
      <c r="C35" s="3698">
        <v>2014</v>
      </c>
      <c r="D35" s="3699"/>
      <c r="E35" s="3702" t="s">
        <v>600</v>
      </c>
      <c r="F35" s="3698"/>
      <c r="G35" s="3698"/>
      <c r="H35" s="3699"/>
      <c r="I35" s="3703">
        <v>2014</v>
      </c>
      <c r="J35" s="3704"/>
      <c r="K35" s="3705" t="s">
        <v>600</v>
      </c>
      <c r="L35" s="3700"/>
      <c r="M35" s="3700"/>
      <c r="N35" s="3701"/>
      <c r="O35" s="1086"/>
      <c r="P35" s="1086"/>
      <c r="Q35" s="1087"/>
    </row>
    <row r="36" spans="2:17" ht="40.5" customHeight="1" thickBot="1">
      <c r="B36" s="3697"/>
      <c r="C36" s="1353" t="s">
        <v>203</v>
      </c>
      <c r="D36" s="1349" t="s">
        <v>467</v>
      </c>
      <c r="E36" s="1353" t="s">
        <v>404</v>
      </c>
      <c r="F36" s="1362" t="s">
        <v>530</v>
      </c>
      <c r="G36" s="1353" t="s">
        <v>564</v>
      </c>
      <c r="H36" s="1363" t="s">
        <v>599</v>
      </c>
      <c r="I36" s="1356" t="s">
        <v>203</v>
      </c>
      <c r="J36" s="1356" t="s">
        <v>410</v>
      </c>
      <c r="K36" s="1356" t="s">
        <v>404</v>
      </c>
      <c r="L36" s="1356" t="s">
        <v>530</v>
      </c>
      <c r="M36" s="1089" t="s">
        <v>564</v>
      </c>
      <c r="N36" s="1089" t="s">
        <v>599</v>
      </c>
      <c r="O36" s="1090"/>
      <c r="P36" s="1090"/>
      <c r="Q36" s="1091"/>
    </row>
    <row r="37" spans="2:17" hidden="1">
      <c r="B37" s="1322">
        <v>42005</v>
      </c>
      <c r="C37" s="1095">
        <v>0.60419999999999996</v>
      </c>
      <c r="D37" s="1287">
        <v>0.66900000000000004</v>
      </c>
      <c r="E37" s="1094">
        <v>0</v>
      </c>
      <c r="F37" s="1092">
        <v>0</v>
      </c>
      <c r="G37" s="1093">
        <v>0</v>
      </c>
      <c r="H37" s="1287"/>
      <c r="I37" s="1095">
        <v>0.43209999999999998</v>
      </c>
      <c r="J37" s="1095">
        <v>0.3977</v>
      </c>
      <c r="K37" s="1095">
        <v>0</v>
      </c>
      <c r="L37" s="1360">
        <v>0</v>
      </c>
      <c r="M37" s="1095">
        <v>0</v>
      </c>
      <c r="N37" s="1095"/>
      <c r="O37" s="1086"/>
      <c r="P37" s="1086"/>
      <c r="Q37" s="1086"/>
    </row>
    <row r="38" spans="2:17" hidden="1">
      <c r="B38" s="749">
        <v>42036</v>
      </c>
      <c r="C38" s="1099">
        <v>0.60419999999999996</v>
      </c>
      <c r="D38" s="1288">
        <v>0.76600000000000001</v>
      </c>
      <c r="E38" s="1098">
        <v>0</v>
      </c>
      <c r="F38" s="1096">
        <v>0</v>
      </c>
      <c r="G38" s="1097">
        <v>0</v>
      </c>
      <c r="H38" s="1288"/>
      <c r="I38" s="1099">
        <v>0.43209999999999998</v>
      </c>
      <c r="J38" s="1099">
        <v>0.5091</v>
      </c>
      <c r="K38" s="1099">
        <v>0</v>
      </c>
      <c r="L38" s="1361">
        <v>0</v>
      </c>
      <c r="M38" s="1099">
        <v>0</v>
      </c>
      <c r="N38" s="1099"/>
      <c r="O38" s="1086"/>
      <c r="P38" s="1086"/>
      <c r="Q38" s="1086"/>
    </row>
    <row r="39" spans="2:17" hidden="1">
      <c r="B39" s="749">
        <v>42064</v>
      </c>
      <c r="C39" s="1099">
        <v>0.69169999999999998</v>
      </c>
      <c r="D39" s="1288">
        <v>0.79700000000000004</v>
      </c>
      <c r="E39" s="1098">
        <v>0</v>
      </c>
      <c r="F39" s="1096">
        <v>0</v>
      </c>
      <c r="G39" s="1097">
        <v>0</v>
      </c>
      <c r="H39" s="1288"/>
      <c r="I39" s="1099">
        <v>0.43209999999999998</v>
      </c>
      <c r="J39" s="1099">
        <v>0.59560000000000002</v>
      </c>
      <c r="K39" s="1099">
        <v>0</v>
      </c>
      <c r="L39" s="1361">
        <v>0</v>
      </c>
      <c r="M39" s="1099">
        <v>0</v>
      </c>
      <c r="N39" s="1099"/>
      <c r="O39" s="1086"/>
      <c r="P39" s="1086"/>
      <c r="Q39" s="1086"/>
    </row>
    <row r="40" spans="2:17" hidden="1">
      <c r="B40" s="749">
        <v>42095</v>
      </c>
      <c r="C40" s="1099">
        <v>0.69169999999999998</v>
      </c>
      <c r="D40" s="1288">
        <v>0.83</v>
      </c>
      <c r="E40" s="1098">
        <v>0.4</v>
      </c>
      <c r="F40" s="1096">
        <v>0</v>
      </c>
      <c r="G40" s="1097">
        <v>0</v>
      </c>
      <c r="H40" s="1288"/>
      <c r="I40" s="1099">
        <v>0.43209999999999998</v>
      </c>
      <c r="J40" s="1099">
        <v>0.59560000000000002</v>
      </c>
      <c r="K40" s="1099">
        <v>9.4039407015628615E-2</v>
      </c>
      <c r="L40" s="1361">
        <v>0</v>
      </c>
      <c r="M40" s="1099">
        <v>0</v>
      </c>
      <c r="N40" s="1099"/>
      <c r="O40" s="1086"/>
      <c r="P40" s="1086"/>
      <c r="Q40" s="1086"/>
    </row>
    <row r="41" spans="2:17" hidden="1">
      <c r="B41" s="749">
        <v>42125</v>
      </c>
      <c r="C41" s="1099">
        <v>0.69169999999999998</v>
      </c>
      <c r="D41" s="1350">
        <v>0.83599999999999997</v>
      </c>
      <c r="E41" s="1348">
        <v>0.55000000000000004</v>
      </c>
      <c r="F41" s="1096">
        <v>0</v>
      </c>
      <c r="G41" s="1097">
        <v>0</v>
      </c>
      <c r="H41" s="1288"/>
      <c r="I41" s="1099">
        <v>0.43211001039839325</v>
      </c>
      <c r="J41" s="1099">
        <v>0.81399999999999995</v>
      </c>
      <c r="K41" s="1099">
        <v>0.31557212273660096</v>
      </c>
      <c r="L41" s="1361">
        <v>0</v>
      </c>
      <c r="M41" s="1099">
        <v>0</v>
      </c>
      <c r="N41" s="1099"/>
      <c r="O41" s="1086"/>
      <c r="P41" s="1086"/>
      <c r="Q41" s="1086"/>
    </row>
    <row r="42" spans="2:17" hidden="1">
      <c r="B42" s="749">
        <v>42156</v>
      </c>
      <c r="C42" s="1103">
        <v>0.8</v>
      </c>
      <c r="D42" s="1289">
        <v>0.86399999999999999</v>
      </c>
      <c r="E42" s="1101">
        <v>0.56399999999999995</v>
      </c>
      <c r="F42" s="1096">
        <v>0</v>
      </c>
      <c r="G42" s="1097">
        <v>0</v>
      </c>
      <c r="H42" s="1289"/>
      <c r="I42" s="1103">
        <v>0.64505949405647922</v>
      </c>
      <c r="J42" s="1103">
        <v>0.82630000000000003</v>
      </c>
      <c r="K42" s="1103">
        <v>0.3488</v>
      </c>
      <c r="L42" s="1099">
        <v>0</v>
      </c>
      <c r="M42" s="1103">
        <v>0</v>
      </c>
      <c r="N42" s="1103"/>
      <c r="O42" s="1086"/>
      <c r="P42" s="1086"/>
      <c r="Q42" s="1086"/>
    </row>
    <row r="43" spans="2:17" hidden="1">
      <c r="B43" s="749">
        <v>42186</v>
      </c>
      <c r="C43" s="1099">
        <v>0.8</v>
      </c>
      <c r="D43" s="1288">
        <v>0.89400000000000002</v>
      </c>
      <c r="E43" s="1098">
        <v>0.625</v>
      </c>
      <c r="F43" s="1096">
        <v>0</v>
      </c>
      <c r="G43" s="1097">
        <v>0</v>
      </c>
      <c r="H43" s="1288"/>
      <c r="I43" s="1099">
        <v>0.8268482859785754</v>
      </c>
      <c r="J43" s="1099">
        <v>0.82630000000000003</v>
      </c>
      <c r="K43" s="1099">
        <v>0.3488</v>
      </c>
      <c r="L43" s="1099">
        <v>0</v>
      </c>
      <c r="M43" s="1099">
        <v>0</v>
      </c>
      <c r="N43" s="1099"/>
      <c r="O43" s="1086"/>
      <c r="P43" s="1086"/>
      <c r="Q43" s="1086"/>
    </row>
    <row r="44" spans="2:17" hidden="1">
      <c r="B44" s="749">
        <v>42217</v>
      </c>
      <c r="C44" s="1099">
        <v>0.8458</v>
      </c>
      <c r="D44" s="1288">
        <v>0.91500000000000004</v>
      </c>
      <c r="E44" s="1098">
        <v>0.74170000000000003</v>
      </c>
      <c r="F44" s="1096">
        <v>0</v>
      </c>
      <c r="G44" s="1097">
        <v>0</v>
      </c>
      <c r="H44" s="1288"/>
      <c r="I44" s="1099">
        <v>0.68710000000000004</v>
      </c>
      <c r="J44" s="1099">
        <v>0.8337664802614041</v>
      </c>
      <c r="K44" s="1099">
        <v>0.38015803460407133</v>
      </c>
      <c r="L44" s="1099">
        <v>0</v>
      </c>
      <c r="M44" s="1099">
        <v>0</v>
      </c>
      <c r="N44" s="1099"/>
      <c r="O44" s="1086"/>
      <c r="P44" s="1086"/>
      <c r="Q44" s="1086"/>
    </row>
    <row r="45" spans="2:17" hidden="1">
      <c r="B45" s="749">
        <v>42248</v>
      </c>
      <c r="C45" s="1099">
        <v>0.8458</v>
      </c>
      <c r="D45" s="1288">
        <v>0.95099999999999996</v>
      </c>
      <c r="E45" s="1098">
        <v>0.76570000000000005</v>
      </c>
      <c r="F45" s="1096">
        <v>0</v>
      </c>
      <c r="G45" s="1097">
        <v>0</v>
      </c>
      <c r="H45" s="1288"/>
      <c r="I45" s="1099">
        <v>0.68710000000000004</v>
      </c>
      <c r="J45" s="1099">
        <v>0.8337664802614041</v>
      </c>
      <c r="K45" s="1099">
        <v>0.38015803460407133</v>
      </c>
      <c r="L45" s="1099">
        <v>0</v>
      </c>
      <c r="M45" s="1099">
        <v>0</v>
      </c>
      <c r="N45" s="1099"/>
      <c r="O45" s="1086"/>
      <c r="P45" s="1086"/>
      <c r="Q45" s="1086"/>
    </row>
    <row r="46" spans="2:17" hidden="1">
      <c r="B46" s="749">
        <v>42278</v>
      </c>
      <c r="C46" s="1099">
        <v>0.9617</v>
      </c>
      <c r="D46" s="1288">
        <v>0.95099999999999996</v>
      </c>
      <c r="E46" s="1098">
        <v>0.83860000000000001</v>
      </c>
      <c r="F46" s="1096">
        <v>0</v>
      </c>
      <c r="G46" s="1097">
        <v>0</v>
      </c>
      <c r="H46" s="1102">
        <v>0</v>
      </c>
      <c r="I46" s="1099">
        <v>0.68710000000000004</v>
      </c>
      <c r="J46" s="1099">
        <v>0.8337664802614041</v>
      </c>
      <c r="K46" s="1099">
        <v>0.38015803460407133</v>
      </c>
      <c r="L46" s="1099">
        <v>0</v>
      </c>
      <c r="M46" s="1099">
        <v>0</v>
      </c>
      <c r="N46" s="1099">
        <v>0</v>
      </c>
      <c r="O46" s="1104"/>
      <c r="P46" s="1104"/>
      <c r="Q46" s="1104"/>
    </row>
    <row r="47" spans="2:17" hidden="1">
      <c r="B47" s="749">
        <v>42309</v>
      </c>
      <c r="C47" s="1099">
        <v>0.9617</v>
      </c>
      <c r="D47" s="1288">
        <v>0.97899999999999998</v>
      </c>
      <c r="E47" s="1098">
        <v>0.90639999999999998</v>
      </c>
      <c r="F47" s="1096">
        <v>0</v>
      </c>
      <c r="G47" s="1097">
        <v>0</v>
      </c>
      <c r="H47" s="1102">
        <v>0</v>
      </c>
      <c r="I47" s="1099">
        <v>0.68710000000000004</v>
      </c>
      <c r="J47" s="1099">
        <v>0.84374453531544613</v>
      </c>
      <c r="K47" s="1099">
        <v>0.38015803460407133</v>
      </c>
      <c r="L47" s="1099">
        <v>0</v>
      </c>
      <c r="M47" s="1099">
        <v>0</v>
      </c>
      <c r="N47" s="1099">
        <v>0</v>
      </c>
      <c r="O47" s="1104"/>
      <c r="P47" s="1104"/>
      <c r="Q47" s="1104"/>
    </row>
    <row r="48" spans="2:17" hidden="1">
      <c r="B48" s="1332">
        <v>42339</v>
      </c>
      <c r="C48" s="1099">
        <v>1</v>
      </c>
      <c r="D48" s="1288">
        <v>0.97899999999999998</v>
      </c>
      <c r="E48" s="1098">
        <v>0.93710000000000004</v>
      </c>
      <c r="F48" s="1096">
        <v>0</v>
      </c>
      <c r="G48" s="1097">
        <v>0</v>
      </c>
      <c r="H48" s="1102">
        <v>0</v>
      </c>
      <c r="I48" s="1099">
        <v>0.68710000000000004</v>
      </c>
      <c r="J48" s="1099">
        <v>0.84374453531544613</v>
      </c>
      <c r="K48" s="1099">
        <v>0.38015803460407133</v>
      </c>
      <c r="L48" s="1099">
        <v>0</v>
      </c>
      <c r="M48" s="1099">
        <v>0</v>
      </c>
      <c r="N48" s="1099">
        <v>0</v>
      </c>
      <c r="O48" s="1104"/>
      <c r="P48" s="1104"/>
      <c r="Q48" s="1104"/>
    </row>
    <row r="49" spans="2:17" hidden="1">
      <c r="B49" s="1322">
        <v>42370</v>
      </c>
      <c r="C49" s="1099">
        <v>1</v>
      </c>
      <c r="D49" s="1288">
        <v>0.98899999999999999</v>
      </c>
      <c r="E49" s="1098">
        <v>1</v>
      </c>
      <c r="F49" s="1096">
        <v>0</v>
      </c>
      <c r="G49" s="1097">
        <v>0</v>
      </c>
      <c r="H49" s="1102">
        <v>0</v>
      </c>
      <c r="I49" s="1099">
        <v>0.68710000000000004</v>
      </c>
      <c r="J49" s="1099">
        <v>0.84374453531544613</v>
      </c>
      <c r="K49" s="1099">
        <v>0.38015803460407133</v>
      </c>
      <c r="L49" s="1099">
        <v>0</v>
      </c>
      <c r="M49" s="1099">
        <v>0</v>
      </c>
      <c r="N49" s="1099">
        <v>0</v>
      </c>
      <c r="O49" s="1104"/>
      <c r="P49" s="1104"/>
      <c r="Q49" s="1104"/>
    </row>
    <row r="50" spans="2:17" hidden="1">
      <c r="B50" s="749">
        <v>42401</v>
      </c>
      <c r="C50" s="1099">
        <v>1</v>
      </c>
      <c r="D50" s="1288">
        <v>0.98899999999999999</v>
      </c>
      <c r="E50" s="1098">
        <v>1</v>
      </c>
      <c r="F50" s="1096">
        <v>0</v>
      </c>
      <c r="G50" s="1097">
        <v>0</v>
      </c>
      <c r="H50" s="1102">
        <v>0</v>
      </c>
      <c r="I50" s="1099">
        <v>0.74709999999999999</v>
      </c>
      <c r="J50" s="1099">
        <v>0.84374453531544613</v>
      </c>
      <c r="K50" s="1099">
        <v>0.38015803460407133</v>
      </c>
      <c r="L50" s="1099">
        <v>0</v>
      </c>
      <c r="M50" s="1099">
        <v>0</v>
      </c>
      <c r="N50" s="1099">
        <v>0</v>
      </c>
      <c r="O50" s="1104"/>
      <c r="P50" s="1104"/>
      <c r="Q50" s="1104"/>
    </row>
    <row r="51" spans="2:17" hidden="1">
      <c r="B51" s="749">
        <v>42430</v>
      </c>
      <c r="C51" s="1099">
        <v>1</v>
      </c>
      <c r="D51" s="1288">
        <v>1</v>
      </c>
      <c r="E51" s="1098">
        <v>1</v>
      </c>
      <c r="F51" s="1096">
        <v>0</v>
      </c>
      <c r="G51" s="1097">
        <v>0</v>
      </c>
      <c r="H51" s="1102">
        <v>0</v>
      </c>
      <c r="I51" s="1099">
        <v>0.74709999999999999</v>
      </c>
      <c r="J51" s="1099">
        <v>0.84374453531544613</v>
      </c>
      <c r="K51" s="1099">
        <v>0.62897503043520919</v>
      </c>
      <c r="L51" s="1099">
        <v>9.0446383521820536E-2</v>
      </c>
      <c r="M51" s="1099">
        <v>0</v>
      </c>
      <c r="N51" s="1099">
        <v>0</v>
      </c>
      <c r="O51" s="1104"/>
      <c r="P51" s="1104"/>
      <c r="Q51" s="1104"/>
    </row>
    <row r="52" spans="2:17" hidden="1">
      <c r="B52" s="749">
        <v>42461</v>
      </c>
      <c r="C52" s="1099">
        <v>1</v>
      </c>
      <c r="D52" s="1288">
        <v>1</v>
      </c>
      <c r="E52" s="1098">
        <v>1</v>
      </c>
      <c r="F52" s="1096">
        <v>0</v>
      </c>
      <c r="G52" s="1097">
        <v>0</v>
      </c>
      <c r="H52" s="1102">
        <v>0</v>
      </c>
      <c r="I52" s="1099">
        <v>0.74709999999999999</v>
      </c>
      <c r="J52" s="1099">
        <v>0.88918468056018984</v>
      </c>
      <c r="K52" s="1099">
        <v>0.73096396838706146</v>
      </c>
      <c r="L52" s="1099">
        <v>0.19924364297931177</v>
      </c>
      <c r="M52" s="1099">
        <v>0</v>
      </c>
      <c r="N52" s="1099">
        <v>0</v>
      </c>
      <c r="O52" s="1104"/>
      <c r="P52" s="1104"/>
      <c r="Q52" s="1104"/>
    </row>
    <row r="53" spans="2:17" hidden="1">
      <c r="B53" s="749">
        <v>42491</v>
      </c>
      <c r="C53" s="1099">
        <v>1</v>
      </c>
      <c r="D53" s="1288">
        <v>1</v>
      </c>
      <c r="E53" s="1098">
        <v>1</v>
      </c>
      <c r="F53" s="1096">
        <v>0</v>
      </c>
      <c r="G53" s="1097">
        <v>0</v>
      </c>
      <c r="H53" s="1097">
        <v>0</v>
      </c>
      <c r="I53" s="1099">
        <v>0.74709999999999999</v>
      </c>
      <c r="J53" s="1099">
        <v>0.91822613475258974</v>
      </c>
      <c r="K53" s="1099">
        <v>0.81408823851051126</v>
      </c>
      <c r="L53" s="1099">
        <v>0.30580934205914989</v>
      </c>
      <c r="M53" s="1099">
        <v>0</v>
      </c>
      <c r="N53" s="1099">
        <v>0</v>
      </c>
      <c r="O53" s="1104"/>
      <c r="P53" s="1104"/>
      <c r="Q53" s="1104"/>
    </row>
    <row r="54" spans="2:17" hidden="1">
      <c r="B54" s="749">
        <v>42522</v>
      </c>
      <c r="C54" s="1099">
        <v>1</v>
      </c>
      <c r="D54" s="1288">
        <v>1</v>
      </c>
      <c r="E54" s="1098">
        <v>1</v>
      </c>
      <c r="F54" s="1096">
        <v>0.4</v>
      </c>
      <c r="G54" s="1097">
        <v>0</v>
      </c>
      <c r="H54" s="1097">
        <v>0</v>
      </c>
      <c r="I54" s="1099">
        <v>0.84109999999999996</v>
      </c>
      <c r="J54" s="1099">
        <v>0.93542679978920906</v>
      </c>
      <c r="K54" s="1099">
        <v>0.86112187677673402</v>
      </c>
      <c r="L54" s="1099">
        <v>0.30580934205914989</v>
      </c>
      <c r="M54" s="1099">
        <v>0</v>
      </c>
      <c r="N54" s="1099">
        <v>0</v>
      </c>
      <c r="O54" s="1104"/>
      <c r="P54" s="1104"/>
      <c r="Q54" s="1104"/>
    </row>
    <row r="55" spans="2:17" hidden="1">
      <c r="B55" s="749">
        <v>42552</v>
      </c>
      <c r="C55" s="1099">
        <v>1</v>
      </c>
      <c r="D55" s="1288">
        <v>1</v>
      </c>
      <c r="E55" s="1098">
        <v>1</v>
      </c>
      <c r="F55" s="1096">
        <v>0.5</v>
      </c>
      <c r="G55" s="1097">
        <v>0.1</v>
      </c>
      <c r="H55" s="1097">
        <v>0</v>
      </c>
      <c r="I55" s="1099">
        <v>0.84109999999999996</v>
      </c>
      <c r="J55" s="1099">
        <v>0.95781345212177782</v>
      </c>
      <c r="K55" s="1099">
        <v>0.86112187677673402</v>
      </c>
      <c r="L55" s="1099">
        <v>0.30580934205914989</v>
      </c>
      <c r="M55" s="1099">
        <v>0.13573930609516527</v>
      </c>
      <c r="N55" s="1099">
        <v>0</v>
      </c>
      <c r="O55" s="1104"/>
      <c r="P55" s="1104"/>
      <c r="Q55" s="1104"/>
    </row>
    <row r="56" spans="2:17" hidden="1">
      <c r="B56" s="749">
        <v>42583</v>
      </c>
      <c r="C56" s="1099">
        <v>1</v>
      </c>
      <c r="D56" s="1288">
        <v>1</v>
      </c>
      <c r="E56" s="1098">
        <v>1</v>
      </c>
      <c r="F56" s="1096">
        <v>0.7</v>
      </c>
      <c r="G56" s="1097">
        <v>0.3</v>
      </c>
      <c r="H56" s="1097">
        <v>0</v>
      </c>
      <c r="I56" s="1099">
        <v>0.84109999999999996</v>
      </c>
      <c r="J56" s="1099">
        <v>0.95781291300774685</v>
      </c>
      <c r="K56" s="1099">
        <v>0.92999471225139385</v>
      </c>
      <c r="L56" s="1099">
        <v>0.57778419668223757</v>
      </c>
      <c r="M56" s="1099">
        <v>0.61572915594093069</v>
      </c>
      <c r="N56" s="1099">
        <v>0</v>
      </c>
      <c r="O56" s="1104"/>
      <c r="P56" s="1104"/>
      <c r="Q56" s="1104"/>
    </row>
    <row r="57" spans="2:17" hidden="1">
      <c r="B57" s="749">
        <v>42614</v>
      </c>
      <c r="C57" s="1099">
        <v>1</v>
      </c>
      <c r="D57" s="1288">
        <v>1</v>
      </c>
      <c r="E57" s="1098">
        <v>1</v>
      </c>
      <c r="F57" s="1096">
        <v>1</v>
      </c>
      <c r="G57" s="1097">
        <v>0.75</v>
      </c>
      <c r="H57" s="1097">
        <v>0</v>
      </c>
      <c r="I57" s="1099">
        <v>0.98460000000000003</v>
      </c>
      <c r="J57" s="1099">
        <v>0.99260000000000004</v>
      </c>
      <c r="K57" s="1099">
        <v>1.0416000000000001</v>
      </c>
      <c r="L57" s="1099">
        <v>1.1157999999999999</v>
      </c>
      <c r="M57" s="1099">
        <v>0.71060000000000001</v>
      </c>
      <c r="N57" s="1099">
        <v>0</v>
      </c>
      <c r="O57" s="1104"/>
      <c r="P57" s="1104"/>
      <c r="Q57" s="1104"/>
    </row>
    <row r="58" spans="2:17" hidden="1">
      <c r="B58" s="1332">
        <v>42644</v>
      </c>
      <c r="C58" s="1103">
        <v>1</v>
      </c>
      <c r="D58" s="1289">
        <v>1</v>
      </c>
      <c r="E58" s="1101">
        <v>1</v>
      </c>
      <c r="F58" s="1100">
        <v>1</v>
      </c>
      <c r="G58" s="1102">
        <v>0.75</v>
      </c>
      <c r="H58" s="1097">
        <v>0</v>
      </c>
      <c r="I58" s="1103">
        <v>0.98459575651427922</v>
      </c>
      <c r="J58" s="1103">
        <v>0.99260963038901351</v>
      </c>
      <c r="K58" s="1103">
        <v>1.0415940777215613</v>
      </c>
      <c r="L58" s="1103">
        <v>1.1158052027662124</v>
      </c>
      <c r="M58" s="1103">
        <v>0.71060834441316401</v>
      </c>
      <c r="N58" s="1099">
        <v>0</v>
      </c>
      <c r="O58" s="1104"/>
      <c r="P58" s="1104"/>
      <c r="Q58" s="1104"/>
    </row>
    <row r="59" spans="2:17" hidden="1">
      <c r="B59" s="1332">
        <v>42675</v>
      </c>
      <c r="C59" s="1103">
        <v>1</v>
      </c>
      <c r="D59" s="1289">
        <v>1</v>
      </c>
      <c r="E59" s="1101">
        <v>1</v>
      </c>
      <c r="F59" s="1100">
        <v>1</v>
      </c>
      <c r="G59" s="1102">
        <v>0.75</v>
      </c>
      <c r="H59" s="1102">
        <v>0</v>
      </c>
      <c r="I59" s="1103">
        <v>0.98459575651427922</v>
      </c>
      <c r="J59" s="1103">
        <v>0.99260963038901351</v>
      </c>
      <c r="K59" s="1103">
        <v>1.0415940777215613</v>
      </c>
      <c r="L59" s="1103">
        <v>1.1158052027662124</v>
      </c>
      <c r="M59" s="1103">
        <v>0.71060834441316401</v>
      </c>
      <c r="N59" s="1103">
        <v>0</v>
      </c>
      <c r="O59" s="1104"/>
      <c r="P59" s="1104"/>
      <c r="Q59" s="1104"/>
    </row>
    <row r="60" spans="2:17" hidden="1">
      <c r="B60" s="1322">
        <v>42705</v>
      </c>
      <c r="C60" s="1095">
        <v>1</v>
      </c>
      <c r="D60" s="1287">
        <v>1</v>
      </c>
      <c r="E60" s="1094">
        <v>1</v>
      </c>
      <c r="F60" s="1092">
        <v>1</v>
      </c>
      <c r="G60" s="1092">
        <v>0.8</v>
      </c>
      <c r="H60" s="1093">
        <v>0</v>
      </c>
      <c r="I60" s="1357">
        <v>0.99795388124343565</v>
      </c>
      <c r="J60" s="1357">
        <v>0.99260963038901351</v>
      </c>
      <c r="K60" s="1357">
        <v>1.0563655326514014</v>
      </c>
      <c r="L60" s="1357">
        <v>0.97406814606759151</v>
      </c>
      <c r="M60" s="1357">
        <v>0.70805582531722999</v>
      </c>
      <c r="N60" s="1357">
        <v>0</v>
      </c>
      <c r="O60" s="1104"/>
      <c r="P60" s="1104"/>
      <c r="Q60" s="1104"/>
    </row>
    <row r="61" spans="2:17" hidden="1">
      <c r="B61" s="749">
        <v>42736</v>
      </c>
      <c r="C61" s="1099">
        <v>1</v>
      </c>
      <c r="D61" s="1288">
        <v>1</v>
      </c>
      <c r="E61" s="1098">
        <v>1</v>
      </c>
      <c r="F61" s="1096">
        <v>1</v>
      </c>
      <c r="G61" s="1096">
        <v>0.8</v>
      </c>
      <c r="H61" s="1097">
        <v>0</v>
      </c>
      <c r="I61" s="1354">
        <v>0.99795388124343565</v>
      </c>
      <c r="J61" s="1354">
        <v>0.99260963038901351</v>
      </c>
      <c r="K61" s="1354">
        <v>1.0563655326514014</v>
      </c>
      <c r="L61" s="1354">
        <v>1.0040051143624327</v>
      </c>
      <c r="M61" s="1354">
        <v>0.85858271943889219</v>
      </c>
      <c r="N61" s="1354">
        <v>0</v>
      </c>
      <c r="O61" s="1104"/>
      <c r="P61" s="1104"/>
      <c r="Q61" s="1104"/>
    </row>
    <row r="62" spans="2:17" hidden="1">
      <c r="B62" s="749">
        <v>42767</v>
      </c>
      <c r="C62" s="1099">
        <v>1</v>
      </c>
      <c r="D62" s="1288">
        <v>1</v>
      </c>
      <c r="E62" s="1098">
        <v>1</v>
      </c>
      <c r="F62" s="1096">
        <v>0.8</v>
      </c>
      <c r="G62" s="1096">
        <v>0.8</v>
      </c>
      <c r="H62" s="1097">
        <v>0</v>
      </c>
      <c r="I62" s="1354">
        <v>1.004725547459304</v>
      </c>
      <c r="J62" s="1354">
        <v>0.99260963038901351</v>
      </c>
      <c r="K62" s="1354">
        <v>1.0563655326514014</v>
      </c>
      <c r="L62" s="1354">
        <v>1.0040051143624327</v>
      </c>
      <c r="M62" s="1354">
        <v>0.85858271943889219</v>
      </c>
      <c r="N62" s="1354">
        <v>0</v>
      </c>
      <c r="O62" s="1104"/>
      <c r="P62" s="1104"/>
      <c r="Q62" s="1104"/>
    </row>
    <row r="63" spans="2:17" hidden="1">
      <c r="B63" s="749">
        <v>42795</v>
      </c>
      <c r="C63" s="1099">
        <v>1</v>
      </c>
      <c r="D63" s="1288">
        <v>1</v>
      </c>
      <c r="E63" s="1098">
        <v>1</v>
      </c>
      <c r="F63" s="1096">
        <v>0.8</v>
      </c>
      <c r="G63" s="1096">
        <v>0.8</v>
      </c>
      <c r="H63" s="1097">
        <v>0</v>
      </c>
      <c r="I63" s="1354">
        <v>1.004725547459304</v>
      </c>
      <c r="J63" s="1354">
        <v>0.99260963038901351</v>
      </c>
      <c r="K63" s="1354">
        <v>1.0563655326514014</v>
      </c>
      <c r="L63" s="1354">
        <v>1.0705431326991881</v>
      </c>
      <c r="M63" s="1354">
        <v>0.85858271943889219</v>
      </c>
      <c r="N63" s="1354">
        <v>0</v>
      </c>
      <c r="O63" s="1104"/>
      <c r="P63" s="1104"/>
      <c r="Q63" s="1104"/>
    </row>
    <row r="64" spans="2:17" hidden="1">
      <c r="B64" s="749">
        <v>42828</v>
      </c>
      <c r="C64" s="1099">
        <v>1</v>
      </c>
      <c r="D64" s="1288">
        <v>1</v>
      </c>
      <c r="E64" s="1098">
        <v>1</v>
      </c>
      <c r="F64" s="1096">
        <v>0.8</v>
      </c>
      <c r="G64" s="1096">
        <v>0.92700000000000005</v>
      </c>
      <c r="H64" s="1097">
        <v>0</v>
      </c>
      <c r="I64" s="1354">
        <v>1.004725547459304</v>
      </c>
      <c r="J64" s="1354">
        <v>0.99260963038901351</v>
      </c>
      <c r="K64" s="1354">
        <v>1.0563655326514014</v>
      </c>
      <c r="L64" s="1354">
        <v>0.96246765222248964</v>
      </c>
      <c r="M64" s="1354">
        <v>0.83660123878658788</v>
      </c>
      <c r="N64" s="1354">
        <v>0</v>
      </c>
      <c r="O64" s="1104"/>
      <c r="P64" s="1104"/>
      <c r="Q64" s="1104"/>
    </row>
    <row r="65" spans="2:27" hidden="1">
      <c r="B65" s="749">
        <v>42886</v>
      </c>
      <c r="C65" s="1099">
        <v>0.88890000000000002</v>
      </c>
      <c r="D65" s="1288">
        <v>1</v>
      </c>
      <c r="E65" s="1098">
        <v>1</v>
      </c>
      <c r="F65" s="1096">
        <v>0.8</v>
      </c>
      <c r="G65" s="1096">
        <v>0.92700000000000005</v>
      </c>
      <c r="H65" s="1097">
        <v>0</v>
      </c>
      <c r="I65" s="1354">
        <v>0.96884483820286715</v>
      </c>
      <c r="J65" s="1354">
        <v>0.99260963038901351</v>
      </c>
      <c r="K65" s="1354">
        <v>1.0563655326514014</v>
      </c>
      <c r="L65" s="1354">
        <v>0.99791819555579386</v>
      </c>
      <c r="M65" s="1354">
        <v>0.83660123878658788</v>
      </c>
      <c r="N65" s="1354">
        <v>0.82736432261053283</v>
      </c>
      <c r="O65" s="1104"/>
      <c r="P65" s="1104"/>
      <c r="Q65" s="1104"/>
    </row>
    <row r="66" spans="2:27" hidden="1">
      <c r="B66" s="749">
        <v>42916</v>
      </c>
      <c r="C66" s="1099">
        <v>0.88890000000000002</v>
      </c>
      <c r="D66" s="1288">
        <v>1</v>
      </c>
      <c r="E66" s="1098">
        <v>1</v>
      </c>
      <c r="F66" s="1096">
        <v>0.75</v>
      </c>
      <c r="G66" s="1096">
        <v>0.92500000000000004</v>
      </c>
      <c r="H66" s="1097">
        <v>6.5000000000000002E-2</v>
      </c>
      <c r="I66" s="1354">
        <v>0.95770509996626163</v>
      </c>
      <c r="J66" s="1354">
        <v>0.96250307329397577</v>
      </c>
      <c r="K66" s="1354">
        <v>0.97851440346152574</v>
      </c>
      <c r="L66" s="1354">
        <v>0.85209494492284998</v>
      </c>
      <c r="M66" s="1354">
        <v>0.82478815813442019</v>
      </c>
      <c r="N66" s="1354">
        <v>0.50000000294231073</v>
      </c>
      <c r="O66" s="1104"/>
      <c r="P66" s="1104"/>
      <c r="Q66" s="1104"/>
    </row>
    <row r="67" spans="2:27" hidden="1">
      <c r="B67" s="749">
        <v>42947</v>
      </c>
      <c r="C67" s="1099">
        <v>0.88890000000000002</v>
      </c>
      <c r="D67" s="1288">
        <v>1</v>
      </c>
      <c r="E67" s="1098">
        <v>1</v>
      </c>
      <c r="F67" s="1096">
        <v>0.6</v>
      </c>
      <c r="G67" s="1096">
        <v>0.92500000000000004</v>
      </c>
      <c r="H67" s="1097">
        <v>7.0000000000000007E-2</v>
      </c>
      <c r="I67" s="1354">
        <v>0.96381532977785966</v>
      </c>
      <c r="J67" s="1354">
        <v>0.96250307329397577</v>
      </c>
      <c r="K67" s="1354">
        <v>0.97851440346152574</v>
      </c>
      <c r="L67" s="1354">
        <v>0.80934139453839371</v>
      </c>
      <c r="M67" s="1354">
        <v>0.83475240926866812</v>
      </c>
      <c r="N67" s="1354">
        <v>0.47581988529528246</v>
      </c>
      <c r="O67" s="1104"/>
      <c r="P67" s="1104"/>
      <c r="Q67" s="1104"/>
    </row>
    <row r="68" spans="2:27" hidden="1">
      <c r="B68" s="749">
        <v>42978</v>
      </c>
      <c r="C68" s="1099">
        <v>0.88890000000000002</v>
      </c>
      <c r="D68" s="1288">
        <v>1</v>
      </c>
      <c r="E68" s="1098">
        <v>1</v>
      </c>
      <c r="F68" s="1096">
        <v>0.6</v>
      </c>
      <c r="G68" s="1096">
        <v>0.92500000000000004</v>
      </c>
      <c r="H68" s="1097">
        <v>0.5</v>
      </c>
      <c r="I68" s="1354">
        <v>0.96381532977785966</v>
      </c>
      <c r="J68" s="1354">
        <v>0.96250307329397577</v>
      </c>
      <c r="K68" s="1354">
        <v>0.97851440346152574</v>
      </c>
      <c r="L68" s="1354">
        <v>0.80934139453839371</v>
      </c>
      <c r="M68" s="1354">
        <v>0.83475240926866812</v>
      </c>
      <c r="N68" s="1354">
        <v>0.47581988529528246</v>
      </c>
      <c r="O68" s="1104"/>
      <c r="P68" s="1086"/>
      <c r="Q68" s="1086"/>
      <c r="R68" s="1086"/>
      <c r="S68" s="1086"/>
      <c r="T68" s="1086"/>
      <c r="U68" s="1086"/>
      <c r="V68" s="1086"/>
      <c r="W68" s="1086"/>
      <c r="X68" s="1086"/>
      <c r="Y68" s="1086"/>
      <c r="Z68" s="1086"/>
      <c r="AA68" s="1086"/>
    </row>
    <row r="69" spans="2:27" hidden="1">
      <c r="B69" s="749">
        <v>42979</v>
      </c>
      <c r="C69" s="1099">
        <v>0.88890000000000002</v>
      </c>
      <c r="D69" s="1288">
        <v>1</v>
      </c>
      <c r="E69" s="1098">
        <v>1</v>
      </c>
      <c r="F69" s="1096">
        <v>0.75</v>
      </c>
      <c r="G69" s="1096">
        <v>0.92500000000000004</v>
      </c>
      <c r="H69" s="1097">
        <v>0.51</v>
      </c>
      <c r="I69" s="1354">
        <v>0.96381532977785966</v>
      </c>
      <c r="J69" s="1354">
        <v>0.96250307329397577</v>
      </c>
      <c r="K69" s="1354">
        <v>0.97851440346152574</v>
      </c>
      <c r="L69" s="1354">
        <v>0.84373532435565135</v>
      </c>
      <c r="M69" s="1354">
        <v>0.83475240926866812</v>
      </c>
      <c r="N69" s="1354">
        <v>0.47581988529528246</v>
      </c>
      <c r="O69" s="1104"/>
      <c r="P69" s="1086"/>
    </row>
    <row r="70" spans="2:27" ht="17.25">
      <c r="B70" s="749">
        <v>43009</v>
      </c>
      <c r="C70" s="1099">
        <v>0.88890000000000002</v>
      </c>
      <c r="D70" s="1288">
        <v>1</v>
      </c>
      <c r="E70" s="1098">
        <v>1</v>
      </c>
      <c r="F70" s="1096">
        <v>0.75</v>
      </c>
      <c r="G70" s="1096">
        <v>1</v>
      </c>
      <c r="H70" s="1097">
        <v>0.52500000000000002</v>
      </c>
      <c r="I70" s="1354">
        <v>0.96381532977785966</v>
      </c>
      <c r="J70" s="1354">
        <v>0.96250307329397577</v>
      </c>
      <c r="K70" s="1354">
        <v>0.97851440346152574</v>
      </c>
      <c r="L70" s="1354">
        <v>0.84373532435565135</v>
      </c>
      <c r="M70" s="1354">
        <v>0.99988906316243631</v>
      </c>
      <c r="N70" s="1354">
        <v>0.47581988529528246</v>
      </c>
      <c r="O70" s="1104"/>
      <c r="P70" s="1223"/>
    </row>
    <row r="71" spans="2:27" ht="17.25">
      <c r="B71" s="749">
        <v>43040</v>
      </c>
      <c r="C71" s="1099">
        <v>0.88890000000000002</v>
      </c>
      <c r="D71" s="1288">
        <v>1</v>
      </c>
      <c r="E71" s="1098">
        <v>1</v>
      </c>
      <c r="F71" s="1096">
        <v>0.94</v>
      </c>
      <c r="G71" s="1096">
        <v>1</v>
      </c>
      <c r="H71" s="1097">
        <v>0.56899999999999995</v>
      </c>
      <c r="I71" s="1354">
        <v>0.96381532977785989</v>
      </c>
      <c r="J71" s="1354">
        <v>0.96250307329397589</v>
      </c>
      <c r="K71" s="1354">
        <v>0.97851440346152574</v>
      </c>
      <c r="L71" s="1354">
        <v>0.88641163644492926</v>
      </c>
      <c r="M71" s="1354">
        <v>0.99988906316243631</v>
      </c>
      <c r="N71" s="1354">
        <v>0.5578929138228591</v>
      </c>
      <c r="O71" s="1104"/>
      <c r="P71" s="1229"/>
    </row>
    <row r="72" spans="2:27" s="1086" customFormat="1">
      <c r="B72" s="749">
        <v>43070</v>
      </c>
      <c r="C72" s="1099">
        <v>0.88890000000000002</v>
      </c>
      <c r="D72" s="1288">
        <v>1</v>
      </c>
      <c r="E72" s="1098">
        <v>1</v>
      </c>
      <c r="F72" s="1096">
        <v>0.94</v>
      </c>
      <c r="G72" s="1096">
        <v>1</v>
      </c>
      <c r="H72" s="1097">
        <v>0.62649999999999995</v>
      </c>
      <c r="I72" s="1354">
        <v>0.96381532977785989</v>
      </c>
      <c r="J72" s="1354">
        <v>0.96250594009776269</v>
      </c>
      <c r="K72" s="1354">
        <v>0.97851440346152574</v>
      </c>
      <c r="L72" s="1354">
        <v>0.88641163644492926</v>
      </c>
      <c r="M72" s="1354">
        <v>0.99988906316243631</v>
      </c>
      <c r="N72" s="1354">
        <v>0.53797313371900257</v>
      </c>
      <c r="Q72" s="1045"/>
      <c r="R72" s="1045"/>
      <c r="S72" s="1045"/>
      <c r="T72" s="1045"/>
      <c r="U72" s="1045"/>
      <c r="V72" s="1045"/>
      <c r="W72" s="1045"/>
      <c r="X72" s="1045"/>
      <c r="Y72" s="1045"/>
      <c r="Z72" s="1045"/>
      <c r="AA72" s="1045"/>
    </row>
    <row r="73" spans="2:27" s="1086" customFormat="1">
      <c r="B73" s="749">
        <v>43101</v>
      </c>
      <c r="C73" s="1354">
        <v>0.88890000000000002</v>
      </c>
      <c r="D73" s="1351">
        <v>0.875</v>
      </c>
      <c r="E73" s="1230">
        <v>0.83330000000000004</v>
      </c>
      <c r="F73" s="1224">
        <v>1</v>
      </c>
      <c r="G73" s="1224">
        <v>1</v>
      </c>
      <c r="H73" s="1290">
        <v>0.63549999999999995</v>
      </c>
      <c r="I73" s="1358">
        <v>0.96381532977785989</v>
      </c>
      <c r="J73" s="1358">
        <v>0.9557382271267697</v>
      </c>
      <c r="K73" s="1358">
        <v>0.93308575310117325</v>
      </c>
      <c r="L73" s="1358">
        <v>0.90166096150901875</v>
      </c>
      <c r="M73" s="1358">
        <v>0.99988906316243631</v>
      </c>
      <c r="N73" s="1358">
        <v>0.53797313371900257</v>
      </c>
      <c r="Q73" s="1045"/>
      <c r="R73" s="1045"/>
      <c r="S73" s="1045"/>
      <c r="T73" s="1045"/>
      <c r="U73" s="1045"/>
      <c r="V73" s="1045"/>
      <c r="W73" s="1045"/>
      <c r="X73" s="1045"/>
      <c r="Y73" s="1045"/>
      <c r="Z73" s="1045"/>
      <c r="AA73" s="1045"/>
    </row>
    <row r="74" spans="2:27" s="1086" customFormat="1">
      <c r="B74" s="749">
        <v>43132</v>
      </c>
      <c r="C74" s="1354">
        <v>0.88890000000000002</v>
      </c>
      <c r="D74" s="1351">
        <v>0.875</v>
      </c>
      <c r="E74" s="1230">
        <v>0.83330000000000004</v>
      </c>
      <c r="F74" s="1224">
        <v>1</v>
      </c>
      <c r="G74" s="1224">
        <v>1</v>
      </c>
      <c r="H74" s="1290">
        <v>0.64900000000000002</v>
      </c>
      <c r="I74" s="1358">
        <v>0.96381532977785989</v>
      </c>
      <c r="J74" s="1358">
        <v>0.9557382271267697</v>
      </c>
      <c r="K74" s="1358">
        <v>0.93308575310117325</v>
      </c>
      <c r="L74" s="1358">
        <v>0.92671342710089366</v>
      </c>
      <c r="M74" s="1358">
        <v>0.99988906316243631</v>
      </c>
      <c r="N74" s="1358">
        <v>0.53797313371900257</v>
      </c>
      <c r="Q74" s="1045"/>
      <c r="R74" s="1045"/>
      <c r="S74" s="1045"/>
      <c r="T74" s="1045"/>
      <c r="U74" s="1045"/>
      <c r="V74" s="1045"/>
      <c r="W74" s="1045"/>
      <c r="X74" s="1045"/>
      <c r="Y74" s="1045"/>
      <c r="Z74" s="1045"/>
      <c r="AA74" s="1045"/>
    </row>
    <row r="75" spans="2:27" s="1086" customFormat="1">
      <c r="B75" s="749">
        <v>43160</v>
      </c>
      <c r="C75" s="1354">
        <v>1</v>
      </c>
      <c r="D75" s="1351">
        <v>0.875</v>
      </c>
      <c r="E75" s="1230">
        <v>0.83330000000000004</v>
      </c>
      <c r="F75" s="1224">
        <v>1</v>
      </c>
      <c r="G75" s="1224">
        <v>1</v>
      </c>
      <c r="H75" s="1290">
        <v>0.64900000000000002</v>
      </c>
      <c r="I75" s="1358">
        <v>0.99847739510602973</v>
      </c>
      <c r="J75" s="1358">
        <v>0.96062748303167611</v>
      </c>
      <c r="K75" s="1358">
        <v>0.95352845017753007</v>
      </c>
      <c r="L75" s="1358">
        <v>0.92671342710089366</v>
      </c>
      <c r="M75" s="1358">
        <v>0.99988906316243631</v>
      </c>
      <c r="N75" s="1358">
        <v>0.58655610144566728</v>
      </c>
      <c r="Q75" s="1045"/>
      <c r="R75" s="1045"/>
      <c r="S75" s="1045"/>
      <c r="T75" s="1045"/>
      <c r="U75" s="1045"/>
      <c r="V75" s="1045"/>
      <c r="W75" s="1045"/>
      <c r="X75" s="1045"/>
      <c r="Y75" s="1045"/>
      <c r="Z75" s="1045"/>
      <c r="AA75" s="1045"/>
    </row>
    <row r="76" spans="2:27" s="1086" customFormat="1">
      <c r="B76" s="749">
        <v>43191</v>
      </c>
      <c r="C76" s="1354">
        <v>1</v>
      </c>
      <c r="D76" s="1351">
        <v>0.875</v>
      </c>
      <c r="E76" s="1230">
        <v>0.83330000000000004</v>
      </c>
      <c r="F76" s="1224">
        <v>1</v>
      </c>
      <c r="G76" s="1224">
        <v>1</v>
      </c>
      <c r="H76" s="1290">
        <v>0.72130000000000005</v>
      </c>
      <c r="I76" s="1358">
        <v>0.99847739510602973</v>
      </c>
      <c r="J76" s="1358">
        <v>0.96062748303167611</v>
      </c>
      <c r="K76" s="1358">
        <v>0.95352845017753007</v>
      </c>
      <c r="L76" s="1358">
        <v>0.92671342710089366</v>
      </c>
      <c r="M76" s="1358">
        <v>0.99988906316243631</v>
      </c>
      <c r="N76" s="1358">
        <v>0.58655610144566728</v>
      </c>
      <c r="Q76" s="1045"/>
      <c r="R76" s="1045"/>
      <c r="S76" s="1045"/>
      <c r="T76" s="1045"/>
      <c r="U76" s="1045"/>
      <c r="V76" s="1045"/>
      <c r="W76" s="1045"/>
      <c r="X76" s="1045"/>
      <c r="Y76" s="1045"/>
      <c r="Z76" s="1045"/>
      <c r="AA76" s="1045"/>
    </row>
    <row r="77" spans="2:27" s="1086" customFormat="1">
      <c r="B77" s="749">
        <v>43221</v>
      </c>
      <c r="C77" s="1354">
        <v>1</v>
      </c>
      <c r="D77" s="1351">
        <v>1</v>
      </c>
      <c r="E77" s="1230">
        <v>1</v>
      </c>
      <c r="F77" s="1224">
        <v>1</v>
      </c>
      <c r="G77" s="1224">
        <v>1</v>
      </c>
      <c r="H77" s="1290">
        <v>0.79620000000000002</v>
      </c>
      <c r="I77" s="1358">
        <v>0.99847739510602973</v>
      </c>
      <c r="J77" s="1358">
        <v>0.96276957383233441</v>
      </c>
      <c r="K77" s="1358">
        <v>0.97951189685505902</v>
      </c>
      <c r="L77" s="1358">
        <v>0.92704914417060313</v>
      </c>
      <c r="M77" s="1358">
        <v>0.99988906316243631</v>
      </c>
      <c r="N77" s="1358">
        <v>0.59461573302076465</v>
      </c>
      <c r="Q77" s="1045"/>
      <c r="R77" s="1045"/>
      <c r="S77" s="1045"/>
      <c r="T77" s="1045"/>
      <c r="U77" s="1045"/>
      <c r="V77" s="1045"/>
      <c r="W77" s="1045"/>
      <c r="X77" s="1045"/>
      <c r="Y77" s="1045"/>
      <c r="Z77" s="1045"/>
      <c r="AA77" s="1045"/>
    </row>
    <row r="78" spans="2:27" s="1086" customFormat="1">
      <c r="B78" s="1332">
        <v>43281</v>
      </c>
      <c r="C78" s="2615">
        <v>1</v>
      </c>
      <c r="D78" s="2616">
        <v>1</v>
      </c>
      <c r="E78" s="2617">
        <v>1</v>
      </c>
      <c r="F78" s="2618">
        <v>1</v>
      </c>
      <c r="G78" s="2618">
        <v>1</v>
      </c>
      <c r="H78" s="2619">
        <v>0.94630000000000003</v>
      </c>
      <c r="I78" s="2620">
        <v>0.99847739510602973</v>
      </c>
      <c r="J78" s="2620">
        <v>0.96276957383233441</v>
      </c>
      <c r="K78" s="2620">
        <v>0.97951189685505902</v>
      </c>
      <c r="L78" s="2620">
        <v>0.92704914417060313</v>
      </c>
      <c r="M78" s="2620">
        <v>0.99988906316243631</v>
      </c>
      <c r="N78" s="2620">
        <v>0.59461573302076465</v>
      </c>
      <c r="Q78" s="1045"/>
      <c r="R78" s="1045"/>
      <c r="S78" s="1045"/>
      <c r="T78" s="1045"/>
      <c r="U78" s="1045"/>
      <c r="V78" s="1045"/>
      <c r="W78" s="1045"/>
      <c r="X78" s="1045"/>
      <c r="Y78" s="1045"/>
      <c r="Z78" s="1045"/>
      <c r="AA78" s="1045"/>
    </row>
    <row r="79" spans="2:27" s="1086" customFormat="1">
      <c r="B79" s="1332">
        <v>43311</v>
      </c>
      <c r="C79" s="2615">
        <v>1</v>
      </c>
      <c r="D79" s="2616">
        <v>1</v>
      </c>
      <c r="E79" s="2617">
        <v>1</v>
      </c>
      <c r="F79" s="2618">
        <v>1</v>
      </c>
      <c r="G79" s="2618">
        <v>1</v>
      </c>
      <c r="H79" s="2619">
        <v>1</v>
      </c>
      <c r="I79" s="2620">
        <v>0.99847739510602973</v>
      </c>
      <c r="J79" s="2620">
        <v>0.96276957383233441</v>
      </c>
      <c r="K79" s="2620">
        <v>0.97951189685505902</v>
      </c>
      <c r="L79" s="2620">
        <v>0.92704914417060313</v>
      </c>
      <c r="M79" s="2620">
        <v>0.99988906316243631</v>
      </c>
      <c r="N79" s="2620">
        <v>0.73857666161171609</v>
      </c>
      <c r="Q79" s="1045"/>
      <c r="R79" s="1045"/>
      <c r="S79" s="1045"/>
      <c r="T79" s="1045"/>
      <c r="U79" s="1045"/>
      <c r="V79" s="1045"/>
      <c r="W79" s="1045"/>
      <c r="X79" s="1045"/>
      <c r="Y79" s="1045"/>
      <c r="Z79" s="1045"/>
      <c r="AA79" s="1045"/>
    </row>
    <row r="80" spans="2:27" s="1086" customFormat="1">
      <c r="B80" s="1332">
        <v>43343</v>
      </c>
      <c r="C80" s="2615">
        <v>1</v>
      </c>
      <c r="D80" s="2616">
        <v>1</v>
      </c>
      <c r="E80" s="2617">
        <v>1</v>
      </c>
      <c r="F80" s="2618">
        <v>1</v>
      </c>
      <c r="G80" s="2618">
        <v>1</v>
      </c>
      <c r="H80" s="2619">
        <v>1</v>
      </c>
      <c r="I80" s="2620">
        <v>0.99847739510602973</v>
      </c>
      <c r="J80" s="2620">
        <v>0.96276957383233441</v>
      </c>
      <c r="K80" s="2620">
        <v>0.97951189685505902</v>
      </c>
      <c r="L80" s="2620">
        <v>0.92704914417060313</v>
      </c>
      <c r="M80" s="2620">
        <v>0.99988906316243631</v>
      </c>
      <c r="N80" s="2620">
        <v>0.73857666161171609</v>
      </c>
      <c r="Q80" s="1045"/>
      <c r="R80" s="1045"/>
      <c r="S80" s="1045"/>
      <c r="T80" s="1045"/>
      <c r="U80" s="1045"/>
      <c r="V80" s="1045"/>
      <c r="W80" s="1045"/>
      <c r="X80" s="1045"/>
      <c r="Y80" s="1045"/>
      <c r="Z80" s="1045"/>
      <c r="AA80" s="1045"/>
    </row>
    <row r="81" spans="2:27" s="1086" customFormat="1" ht="15.75" thickBot="1">
      <c r="B81" s="749">
        <v>43373</v>
      </c>
      <c r="C81" s="1355">
        <v>1</v>
      </c>
      <c r="D81" s="1352">
        <v>1</v>
      </c>
      <c r="E81" s="1291">
        <v>1</v>
      </c>
      <c r="F81" s="1286">
        <v>1</v>
      </c>
      <c r="G81" s="1286">
        <v>1</v>
      </c>
      <c r="H81" s="1292">
        <v>1</v>
      </c>
      <c r="I81" s="1359">
        <v>0.99847739510602973</v>
      </c>
      <c r="J81" s="1359">
        <v>0.96276957383233441</v>
      </c>
      <c r="K81" s="1359">
        <v>0.97951189685505902</v>
      </c>
      <c r="L81" s="1359">
        <v>0.94494376643262756</v>
      </c>
      <c r="M81" s="1359">
        <v>0.99988906316243631</v>
      </c>
      <c r="N81" s="1359">
        <v>0.91607962758313621</v>
      </c>
      <c r="Q81" s="1045"/>
      <c r="R81" s="1045"/>
      <c r="S81" s="1045"/>
      <c r="T81" s="1045"/>
      <c r="U81" s="1045"/>
      <c r="V81" s="1045"/>
      <c r="W81" s="1045"/>
      <c r="X81" s="1045"/>
      <c r="Y81" s="1045"/>
      <c r="Z81" s="1045"/>
      <c r="AA81" s="1045"/>
    </row>
    <row r="82" spans="2:27">
      <c r="B82" s="3694"/>
      <c r="C82" s="3694"/>
      <c r="D82" s="3694"/>
      <c r="E82" s="3694"/>
      <c r="F82" s="3694"/>
      <c r="G82" s="3694"/>
      <c r="H82" s="3694"/>
      <c r="I82" s="3694"/>
      <c r="J82" s="3694"/>
      <c r="K82" s="3694"/>
      <c r="L82" s="3694"/>
      <c r="M82" s="1086"/>
      <c r="N82" s="1086"/>
      <c r="O82" s="1086"/>
      <c r="P82" s="1086"/>
    </row>
    <row r="83" spans="2:27" ht="17.25">
      <c r="B83" s="3669" t="s">
        <v>500</v>
      </c>
      <c r="C83" s="3669"/>
      <c r="D83" s="3669"/>
      <c r="E83" s="3669"/>
      <c r="F83" s="3669"/>
      <c r="G83" s="3669"/>
      <c r="H83" s="3669" t="s">
        <v>501</v>
      </c>
      <c r="I83" s="3669"/>
      <c r="J83" s="3669"/>
      <c r="K83" s="3669"/>
      <c r="L83" s="3669"/>
      <c r="M83" s="3669"/>
      <c r="N83" s="1223"/>
      <c r="O83" s="1223"/>
      <c r="P83" s="1086"/>
    </row>
    <row r="84" spans="2:27">
      <c r="B84" s="1086"/>
      <c r="C84" s="1086"/>
      <c r="D84" s="1086"/>
      <c r="E84" s="1086"/>
      <c r="F84" s="1086"/>
      <c r="G84" s="1086"/>
      <c r="H84" s="1086"/>
      <c r="I84" s="1086"/>
      <c r="J84" s="1086"/>
      <c r="K84" s="1086"/>
      <c r="L84" s="1086"/>
      <c r="M84" s="1086"/>
      <c r="N84" s="1086"/>
      <c r="O84" s="1086"/>
      <c r="P84" s="1086"/>
    </row>
    <row r="85" spans="2:27">
      <c r="B85" s="1086"/>
      <c r="C85" s="1086"/>
      <c r="D85" s="1086"/>
      <c r="E85" s="1086"/>
      <c r="F85" s="1086"/>
      <c r="G85" s="1086"/>
      <c r="H85" s="1086"/>
      <c r="I85" s="1086"/>
      <c r="J85" s="1086"/>
      <c r="K85" s="1086"/>
      <c r="L85" s="1086"/>
      <c r="M85" s="1086"/>
      <c r="N85" s="1086"/>
      <c r="O85" s="1086"/>
      <c r="P85" s="1086"/>
    </row>
    <row r="86" spans="2:27">
      <c r="B86" s="1086"/>
      <c r="C86" s="1086"/>
      <c r="D86" s="1086"/>
      <c r="E86" s="1086"/>
      <c r="F86" s="1086"/>
      <c r="G86" s="1086"/>
      <c r="H86" s="1086"/>
      <c r="I86" s="1086"/>
      <c r="J86" s="1086"/>
      <c r="K86" s="1086"/>
      <c r="L86" s="1086"/>
      <c r="M86" s="1086"/>
      <c r="N86" s="1086"/>
      <c r="O86" s="1086"/>
      <c r="P86" s="1086"/>
    </row>
    <row r="87" spans="2:27">
      <c r="B87" s="1086"/>
      <c r="C87" s="1086"/>
      <c r="D87" s="1086"/>
      <c r="E87" s="1086"/>
      <c r="F87" s="1086"/>
      <c r="G87" s="1086"/>
      <c r="H87" s="1086"/>
      <c r="I87" s="1086"/>
      <c r="J87" s="1086"/>
      <c r="K87" s="1086"/>
      <c r="L87" s="1086"/>
      <c r="M87" s="1086"/>
      <c r="N87" s="1086"/>
      <c r="O87" s="1086"/>
      <c r="P87" s="1086"/>
    </row>
    <row r="88" spans="2:27">
      <c r="B88" s="1086"/>
      <c r="C88" s="1086"/>
      <c r="D88" s="1086"/>
      <c r="E88" s="1086"/>
      <c r="F88" s="1086"/>
      <c r="G88" s="1086"/>
      <c r="H88" s="1086"/>
      <c r="I88" s="1086"/>
      <c r="J88" s="1086"/>
      <c r="K88" s="1086"/>
      <c r="L88" s="1086"/>
      <c r="M88" s="1086"/>
      <c r="N88" s="1086"/>
      <c r="O88" s="1086"/>
      <c r="P88" s="1086"/>
    </row>
    <row r="89" spans="2:27">
      <c r="B89" s="1086"/>
      <c r="C89" s="1086"/>
      <c r="D89" s="1086"/>
      <c r="E89" s="1086"/>
      <c r="F89" s="1086"/>
      <c r="G89" s="1086"/>
      <c r="H89" s="1086"/>
      <c r="I89" s="1086"/>
      <c r="J89" s="1086"/>
      <c r="K89" s="1086"/>
      <c r="L89" s="1086"/>
      <c r="M89" s="1086"/>
      <c r="N89" s="1086"/>
      <c r="O89" s="1086"/>
      <c r="P89" s="1086"/>
    </row>
    <row r="90" spans="2:27">
      <c r="B90" s="1086"/>
      <c r="C90" s="1086"/>
      <c r="D90" s="1086"/>
      <c r="E90" s="1086"/>
      <c r="F90" s="1086"/>
      <c r="G90" s="1086"/>
      <c r="H90" s="1086"/>
      <c r="I90" s="1086"/>
      <c r="J90" s="1086"/>
      <c r="K90" s="1086"/>
      <c r="L90" s="1086"/>
      <c r="M90" s="1086"/>
      <c r="N90" s="1086"/>
      <c r="O90" s="1086"/>
      <c r="P90" s="1086"/>
    </row>
    <row r="91" spans="2:27">
      <c r="B91" s="1086"/>
      <c r="C91" s="1086"/>
      <c r="D91" s="1086"/>
      <c r="E91" s="1086"/>
      <c r="F91" s="1086"/>
      <c r="G91" s="1086"/>
      <c r="H91" s="1086"/>
      <c r="I91" s="1086"/>
      <c r="J91" s="1086"/>
      <c r="K91" s="1086"/>
      <c r="L91" s="1086"/>
      <c r="M91" s="1086"/>
      <c r="N91" s="1086"/>
      <c r="O91" s="1086"/>
      <c r="P91" s="1086"/>
    </row>
    <row r="92" spans="2:27">
      <c r="B92" s="1086"/>
      <c r="C92" s="1086"/>
      <c r="D92" s="1086"/>
      <c r="E92" s="1086"/>
      <c r="F92" s="1086"/>
      <c r="G92" s="1086"/>
      <c r="H92" s="1086"/>
      <c r="I92" s="1086"/>
      <c r="J92" s="1086"/>
      <c r="K92" s="1086"/>
      <c r="L92" s="1086"/>
      <c r="M92" s="1086"/>
      <c r="N92" s="1086"/>
      <c r="O92" s="1086"/>
      <c r="P92" s="1086"/>
    </row>
    <row r="93" spans="2:27">
      <c r="B93" s="1086"/>
      <c r="C93" s="1086"/>
      <c r="D93" s="1086"/>
      <c r="E93" s="1086"/>
      <c r="F93" s="1086"/>
      <c r="G93" s="1086"/>
      <c r="H93" s="1086"/>
      <c r="I93" s="1086"/>
      <c r="J93" s="1086"/>
      <c r="K93" s="1086"/>
      <c r="L93" s="1086"/>
      <c r="M93" s="1086"/>
      <c r="N93" s="1086"/>
      <c r="O93" s="1086"/>
      <c r="P93" s="1086"/>
    </row>
    <row r="94" spans="2:27">
      <c r="B94" s="1086"/>
      <c r="C94" s="1086"/>
      <c r="D94" s="1086"/>
      <c r="E94" s="1086"/>
      <c r="F94" s="1086"/>
      <c r="G94" s="1086"/>
      <c r="H94" s="1086"/>
      <c r="I94" s="1086"/>
      <c r="J94" s="1086"/>
      <c r="K94" s="1086"/>
      <c r="L94" s="1086"/>
      <c r="M94" s="1086"/>
      <c r="N94" s="1086"/>
      <c r="O94" s="1086"/>
      <c r="P94" s="1086"/>
    </row>
    <row r="95" spans="2:27">
      <c r="B95" s="1086"/>
      <c r="C95" s="1086"/>
      <c r="D95" s="1086"/>
      <c r="E95" s="1086"/>
      <c r="F95" s="1086"/>
      <c r="G95" s="1086"/>
      <c r="H95" s="1086"/>
      <c r="I95" s="1086"/>
      <c r="J95" s="1086"/>
      <c r="K95" s="1086"/>
      <c r="L95" s="1086"/>
      <c r="M95" s="1086"/>
      <c r="N95" s="1086"/>
      <c r="O95" s="1086"/>
      <c r="P95" s="1086"/>
    </row>
    <row r="96" spans="2:27">
      <c r="B96" s="1086"/>
      <c r="C96" s="1086"/>
      <c r="D96" s="1086"/>
      <c r="E96" s="1086"/>
      <c r="F96" s="1086"/>
      <c r="G96" s="1086"/>
      <c r="H96" s="1086"/>
      <c r="I96" s="1086"/>
      <c r="J96" s="1086"/>
      <c r="K96" s="1086"/>
      <c r="L96" s="1086"/>
      <c r="M96" s="1086"/>
      <c r="N96" s="1086"/>
      <c r="O96" s="1086"/>
      <c r="P96" s="1086"/>
    </row>
    <row r="97" spans="2:16">
      <c r="B97" s="1086"/>
      <c r="C97" s="1086"/>
      <c r="D97" s="1086"/>
      <c r="E97" s="1086"/>
      <c r="F97" s="1086"/>
      <c r="G97" s="1086"/>
      <c r="H97" s="1086"/>
      <c r="I97" s="1086"/>
      <c r="J97" s="1086"/>
      <c r="K97" s="1086"/>
      <c r="L97" s="1086"/>
      <c r="M97" s="1086"/>
      <c r="N97" s="1086"/>
      <c r="O97" s="1086"/>
      <c r="P97" s="1086"/>
    </row>
    <row r="98" spans="2:16">
      <c r="B98" s="1086"/>
      <c r="C98" s="1086"/>
      <c r="D98" s="1086"/>
      <c r="E98" s="1086"/>
      <c r="F98" s="1086"/>
      <c r="G98" s="1086"/>
      <c r="H98" s="1086"/>
      <c r="I98" s="1086"/>
      <c r="J98" s="1086"/>
      <c r="K98" s="1086"/>
      <c r="L98" s="1086"/>
      <c r="M98" s="1086"/>
      <c r="N98" s="1086"/>
      <c r="O98" s="1086"/>
      <c r="P98" s="1086"/>
    </row>
    <row r="99" spans="2:16">
      <c r="B99" s="1086"/>
      <c r="C99" s="1086"/>
      <c r="D99" s="1086"/>
      <c r="E99" s="1086"/>
      <c r="F99" s="1086"/>
      <c r="G99" s="1086"/>
      <c r="H99" s="1086"/>
      <c r="I99" s="1086"/>
      <c r="J99" s="1086"/>
      <c r="K99" s="1086"/>
      <c r="L99" s="1086"/>
      <c r="M99" s="1086"/>
      <c r="N99" s="1086"/>
      <c r="O99" s="1086"/>
      <c r="P99" s="1086"/>
    </row>
    <row r="100" spans="2:16">
      <c r="B100" s="1086"/>
      <c r="C100" s="1086"/>
      <c r="D100" s="1086"/>
      <c r="E100" s="1086"/>
      <c r="F100" s="1086"/>
      <c r="G100" s="1086"/>
      <c r="H100" s="1086"/>
      <c r="I100" s="1086"/>
      <c r="J100" s="1086"/>
      <c r="K100" s="1086"/>
      <c r="L100" s="1086"/>
      <c r="M100" s="1086"/>
      <c r="N100" s="1086"/>
      <c r="O100" s="1086"/>
      <c r="P100" s="1086"/>
    </row>
    <row r="101" spans="2:16">
      <c r="B101" s="1086"/>
      <c r="C101" s="1086"/>
      <c r="D101" s="1086"/>
      <c r="E101" s="1086"/>
      <c r="F101" s="1086"/>
      <c r="G101" s="1086"/>
      <c r="H101" s="1086"/>
      <c r="I101" s="1086"/>
      <c r="J101" s="1086"/>
      <c r="K101" s="1086"/>
      <c r="L101" s="1086"/>
      <c r="M101" s="1086"/>
      <c r="N101" s="1086"/>
      <c r="O101" s="1086"/>
    </row>
    <row r="102" spans="2:16">
      <c r="B102" s="1086"/>
      <c r="C102" s="1086"/>
      <c r="D102" s="1086"/>
      <c r="E102" s="1086"/>
      <c r="F102" s="1086"/>
      <c r="G102" s="1086"/>
      <c r="H102" s="1086"/>
      <c r="I102" s="1086"/>
      <c r="J102" s="1086"/>
      <c r="K102" s="1086"/>
      <c r="L102" s="1086"/>
      <c r="M102" s="1086"/>
      <c r="N102" s="1086"/>
      <c r="O102" s="1086"/>
    </row>
    <row r="103" spans="2:16">
      <c r="B103" s="1086"/>
      <c r="C103" s="1086"/>
      <c r="D103" s="1086"/>
      <c r="E103" s="1086"/>
      <c r="F103" s="1086"/>
      <c r="G103" s="1086"/>
      <c r="H103" s="1086"/>
      <c r="I103" s="1086"/>
      <c r="J103" s="1086"/>
      <c r="K103" s="1086"/>
      <c r="L103" s="1086"/>
      <c r="M103" s="1086"/>
      <c r="N103" s="1086"/>
      <c r="O103" s="1086"/>
    </row>
    <row r="104" spans="2:16">
      <c r="B104" s="1086"/>
      <c r="C104" s="1086"/>
      <c r="D104" s="1086"/>
      <c r="E104" s="1086"/>
      <c r="F104" s="1086"/>
      <c r="G104" s="1086"/>
      <c r="H104" s="1086"/>
      <c r="I104" s="1086"/>
      <c r="J104" s="1086"/>
      <c r="K104" s="1086"/>
      <c r="L104" s="1086"/>
      <c r="M104" s="1086"/>
      <c r="N104" s="1086"/>
      <c r="O104" s="1086"/>
    </row>
  </sheetData>
  <mergeCells count="23">
    <mergeCell ref="B34:B36"/>
    <mergeCell ref="C34:H34"/>
    <mergeCell ref="I34:N34"/>
    <mergeCell ref="C35:D35"/>
    <mergeCell ref="E35:H35"/>
    <mergeCell ref="I35:J35"/>
    <mergeCell ref="K35:N35"/>
    <mergeCell ref="B83:G83"/>
    <mergeCell ref="H83:M83"/>
    <mergeCell ref="C26:D26"/>
    <mergeCell ref="E26:G26"/>
    <mergeCell ref="B2:M2"/>
    <mergeCell ref="C4:M4"/>
    <mergeCell ref="C5:M5"/>
    <mergeCell ref="C6:M6"/>
    <mergeCell ref="C7:M7"/>
    <mergeCell ref="C8:M8"/>
    <mergeCell ref="C9:M9"/>
    <mergeCell ref="C10:M10"/>
    <mergeCell ref="C11:M11"/>
    <mergeCell ref="C12:M12"/>
    <mergeCell ref="B14:J14"/>
    <mergeCell ref="B82:L82"/>
  </mergeCells>
  <pageMargins left="0.7" right="0.7" top="0.75" bottom="0.75" header="0.3" footer="0.3"/>
  <pageSetup paperSize="9" scale="57" orientation="landscape" r:id="rId1"/>
  <rowBreaks count="1" manualBreakCount="1">
    <brk id="32" max="1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1">
    <tabColor theme="3" tint="-0.249977111117893"/>
  </sheetPr>
  <dimension ref="A1:N490"/>
  <sheetViews>
    <sheetView showGridLines="0" topLeftCell="A300" zoomScale="70" zoomScaleNormal="70" zoomScaleSheetLayoutView="80" workbookViewId="0">
      <selection activeCell="Q405" sqref="Q405"/>
    </sheetView>
  </sheetViews>
  <sheetFormatPr baseColWidth="10" defaultRowHeight="11.25"/>
  <cols>
    <col min="1" max="1" width="1" customWidth="1"/>
    <col min="2" max="2" width="18.1640625" customWidth="1"/>
    <col min="3" max="3" width="15.5" customWidth="1"/>
    <col min="4" max="5" width="18.83203125" customWidth="1"/>
    <col min="6" max="6" width="22" customWidth="1"/>
    <col min="7" max="8" width="18.83203125" customWidth="1"/>
    <col min="9" max="9" width="20.6640625" customWidth="1"/>
    <col min="10" max="14" width="18.83203125" customWidth="1"/>
  </cols>
  <sheetData>
    <row r="1" spans="2:14" ht="12" thickBot="1"/>
    <row r="2" spans="2:14" ht="29.25" customHeight="1">
      <c r="B2" s="3864" t="s">
        <v>7</v>
      </c>
      <c r="C2" s="3865"/>
      <c r="D2" s="3865"/>
      <c r="E2" s="3865"/>
      <c r="F2" s="3865"/>
      <c r="G2" s="3865"/>
      <c r="H2" s="3865"/>
      <c r="I2" s="3865"/>
      <c r="J2" s="3865"/>
      <c r="K2" s="3865"/>
      <c r="L2" s="3866"/>
      <c r="M2" s="3866"/>
      <c r="N2" s="3867"/>
    </row>
    <row r="3" spans="2:14" ht="31.5" customHeight="1">
      <c r="B3" s="3837" t="s">
        <v>58</v>
      </c>
      <c r="C3" s="3838"/>
      <c r="D3" s="3871" t="s">
        <v>476</v>
      </c>
      <c r="E3" s="3872"/>
      <c r="F3" s="3872"/>
      <c r="G3" s="3872"/>
      <c r="H3" s="3872"/>
      <c r="I3" s="3872"/>
      <c r="J3" s="3872"/>
      <c r="K3" s="3872"/>
      <c r="L3" s="3872"/>
      <c r="M3" s="3873"/>
      <c r="N3" s="584" t="s">
        <v>445</v>
      </c>
    </row>
    <row r="4" spans="2:14" ht="55.5" customHeight="1">
      <c r="B4" s="3837" t="s">
        <v>59</v>
      </c>
      <c r="C4" s="3838"/>
      <c r="D4" s="3868" t="s">
        <v>477</v>
      </c>
      <c r="E4" s="3868"/>
      <c r="F4" s="3868"/>
      <c r="G4" s="3868"/>
      <c r="H4" s="3868"/>
      <c r="I4" s="3868"/>
      <c r="J4" s="3868"/>
      <c r="K4" s="3868"/>
      <c r="L4" s="3869"/>
      <c r="M4" s="3869"/>
      <c r="N4" s="3870"/>
    </row>
    <row r="5" spans="2:14" ht="31.5" customHeight="1">
      <c r="B5" s="3837" t="s">
        <v>8</v>
      </c>
      <c r="C5" s="3838"/>
      <c r="D5" s="3839" t="s">
        <v>478</v>
      </c>
      <c r="E5" s="3839"/>
      <c r="F5" s="3839"/>
      <c r="G5" s="3839"/>
      <c r="H5" s="3839"/>
      <c r="I5" s="3839"/>
      <c r="J5" s="3839"/>
      <c r="K5" s="3839"/>
      <c r="L5" s="3840"/>
      <c r="M5" s="3840"/>
      <c r="N5" s="3841"/>
    </row>
    <row r="6" spans="2:14" ht="31.5" customHeight="1">
      <c r="B6" s="3837" t="s">
        <v>61</v>
      </c>
      <c r="C6" s="3838"/>
      <c r="D6" s="3868" t="s">
        <v>479</v>
      </c>
      <c r="E6" s="3868"/>
      <c r="F6" s="3868"/>
      <c r="G6" s="3868"/>
      <c r="H6" s="3868"/>
      <c r="I6" s="3868"/>
      <c r="J6" s="3868"/>
      <c r="K6" s="3868"/>
      <c r="L6" s="3869"/>
      <c r="M6" s="3869"/>
      <c r="N6" s="3870"/>
    </row>
    <row r="7" spans="2:14" ht="31.5" customHeight="1">
      <c r="B7" s="3837" t="s">
        <v>62</v>
      </c>
      <c r="C7" s="3838"/>
      <c r="D7" s="3848" t="s">
        <v>480</v>
      </c>
      <c r="E7" s="3848"/>
      <c r="F7" s="3848"/>
      <c r="G7" s="3848"/>
      <c r="H7" s="3848"/>
      <c r="I7" s="3848"/>
      <c r="J7" s="3848"/>
      <c r="K7" s="3848"/>
      <c r="L7" s="3849"/>
      <c r="M7" s="3849"/>
      <c r="N7" s="3850"/>
    </row>
    <row r="8" spans="2:14" ht="66.75" customHeight="1">
      <c r="B8" s="3837" t="s">
        <v>63</v>
      </c>
      <c r="C8" s="3838"/>
      <c r="D8" s="3839" t="s">
        <v>494</v>
      </c>
      <c r="E8" s="3839"/>
      <c r="F8" s="3839"/>
      <c r="G8" s="3839"/>
      <c r="H8" s="3839"/>
      <c r="I8" s="3839"/>
      <c r="J8" s="3839"/>
      <c r="K8" s="3839"/>
      <c r="L8" s="3840"/>
      <c r="M8" s="3840"/>
      <c r="N8" s="3841"/>
    </row>
    <row r="9" spans="2:14" ht="31.5" customHeight="1">
      <c r="B9" s="3837" t="s">
        <v>65</v>
      </c>
      <c r="C9" s="3838"/>
      <c r="D9" s="3842" t="s">
        <v>222</v>
      </c>
      <c r="E9" s="3842"/>
      <c r="F9" s="3842"/>
      <c r="G9" s="3842"/>
      <c r="H9" s="3842"/>
      <c r="I9" s="3842"/>
      <c r="J9" s="3842"/>
      <c r="K9" s="3842"/>
      <c r="L9" s="3843"/>
      <c r="M9" s="3843"/>
      <c r="N9" s="3844"/>
    </row>
    <row r="10" spans="2:14" ht="31.5" customHeight="1">
      <c r="B10" s="3837" t="s">
        <v>9</v>
      </c>
      <c r="C10" s="3838"/>
      <c r="D10" s="3842" t="s">
        <v>481</v>
      </c>
      <c r="E10" s="3842"/>
      <c r="F10" s="3842"/>
      <c r="G10" s="3842"/>
      <c r="H10" s="3842"/>
      <c r="I10" s="3842"/>
      <c r="J10" s="3842"/>
      <c r="K10" s="3842"/>
      <c r="L10" s="3843"/>
      <c r="M10" s="3843"/>
      <c r="N10" s="3844"/>
    </row>
    <row r="11" spans="2:14" ht="31.5" customHeight="1">
      <c r="B11" s="3837" t="s">
        <v>66</v>
      </c>
      <c r="C11" s="3838"/>
      <c r="D11" s="3842" t="s">
        <v>482</v>
      </c>
      <c r="E11" s="3842"/>
      <c r="F11" s="3842"/>
      <c r="G11" s="3842"/>
      <c r="H11" s="3842"/>
      <c r="I11" s="3842"/>
      <c r="J11" s="3842"/>
      <c r="K11" s="3842"/>
      <c r="L11" s="3843"/>
      <c r="M11" s="3843"/>
      <c r="N11" s="3844"/>
    </row>
    <row r="12" spans="2:14" ht="31.5" customHeight="1">
      <c r="B12" s="3837" t="s">
        <v>67</v>
      </c>
      <c r="C12" s="3838"/>
      <c r="D12" s="3848" t="s">
        <v>483</v>
      </c>
      <c r="E12" s="3848"/>
      <c r="F12" s="3848"/>
      <c r="G12" s="3848"/>
      <c r="H12" s="3848"/>
      <c r="I12" s="3848"/>
      <c r="J12" s="3848"/>
      <c r="K12" s="3848"/>
      <c r="L12" s="3849"/>
      <c r="M12" s="3849"/>
      <c r="N12" s="3850"/>
    </row>
    <row r="13" spans="2:14" ht="31.5" customHeight="1">
      <c r="B13" s="3851" t="s">
        <v>484</v>
      </c>
      <c r="C13" s="3852"/>
      <c r="D13" s="3853"/>
      <c r="E13" s="3854"/>
      <c r="F13" s="3854"/>
      <c r="G13" s="3854"/>
      <c r="H13" s="3854"/>
      <c r="I13" s="3854"/>
      <c r="J13" s="3854"/>
      <c r="K13" s="3854"/>
      <c r="L13" s="3854"/>
      <c r="M13" s="3854"/>
      <c r="N13" s="3855"/>
    </row>
    <row r="14" spans="2:14" ht="54" customHeight="1" thickBot="1">
      <c r="B14" s="3856" t="s">
        <v>21</v>
      </c>
      <c r="C14" s="3857"/>
      <c r="D14" s="3858" t="s">
        <v>529</v>
      </c>
      <c r="E14" s="3858"/>
      <c r="F14" s="3858"/>
      <c r="G14" s="3858"/>
      <c r="H14" s="3858"/>
      <c r="I14" s="3858"/>
      <c r="J14" s="3858"/>
      <c r="K14" s="3858"/>
      <c r="L14" s="3859"/>
      <c r="M14" s="3859"/>
      <c r="N14" s="3860"/>
    </row>
    <row r="15" spans="2:14" ht="12.75">
      <c r="B15" s="921"/>
      <c r="C15" s="565"/>
      <c r="D15" s="566"/>
      <c r="E15" s="728"/>
      <c r="F15" s="728"/>
      <c r="G15" s="728"/>
      <c r="H15" s="728"/>
      <c r="I15" s="728"/>
      <c r="J15" s="728"/>
      <c r="K15" s="728"/>
      <c r="L15" s="728"/>
      <c r="M15" s="728"/>
      <c r="N15" s="922"/>
    </row>
    <row r="16" spans="2:14" s="570" customFormat="1" ht="57" hidden="1">
      <c r="B16" s="567" t="s">
        <v>70</v>
      </c>
      <c r="C16" s="568" t="s">
        <v>485</v>
      </c>
      <c r="D16" s="568" t="s">
        <v>486</v>
      </c>
      <c r="E16" s="568" t="s">
        <v>487</v>
      </c>
      <c r="F16" s="568" t="s">
        <v>444</v>
      </c>
      <c r="G16" s="568" t="s">
        <v>488</v>
      </c>
      <c r="H16" s="568" t="s">
        <v>489</v>
      </c>
      <c r="I16" s="568" t="s">
        <v>490</v>
      </c>
      <c r="J16" s="568" t="s">
        <v>491</v>
      </c>
      <c r="K16" s="568" t="s">
        <v>492</v>
      </c>
      <c r="L16" s="915"/>
      <c r="M16" s="915"/>
      <c r="N16" s="569" t="s">
        <v>493</v>
      </c>
    </row>
    <row r="17" spans="2:14" s="570" customFormat="1" ht="14.25" hidden="1">
      <c r="B17" s="571">
        <v>42005</v>
      </c>
      <c r="C17" s="572">
        <v>2</v>
      </c>
      <c r="D17" s="572">
        <v>9</v>
      </c>
      <c r="E17" s="572">
        <f>SUM(C17+D17)</f>
        <v>11</v>
      </c>
      <c r="F17" s="572">
        <v>28</v>
      </c>
      <c r="G17" s="575">
        <v>13840.580000000002</v>
      </c>
      <c r="H17" s="573">
        <v>19</v>
      </c>
      <c r="I17" s="573">
        <v>422</v>
      </c>
      <c r="J17" s="574">
        <f t="shared" ref="J17:J25" si="0">SUM(H17:I17)</f>
        <v>441</v>
      </c>
      <c r="K17" s="574">
        <v>122</v>
      </c>
      <c r="L17" s="916"/>
      <c r="M17" s="916"/>
      <c r="N17" s="583">
        <f>J17/K17</f>
        <v>3.6147540983606556</v>
      </c>
    </row>
    <row r="18" spans="2:14" s="570" customFormat="1" ht="14.25" hidden="1">
      <c r="B18" s="571">
        <v>42036</v>
      </c>
      <c r="C18" s="572">
        <v>0</v>
      </c>
      <c r="D18" s="572">
        <v>6</v>
      </c>
      <c r="E18" s="572">
        <f t="shared" ref="E18:E25" si="1">SUM(C18+D18)</f>
        <v>6</v>
      </c>
      <c r="F18" s="572">
        <v>47</v>
      </c>
      <c r="G18" s="575">
        <v>15804.11</v>
      </c>
      <c r="H18" s="573">
        <v>0</v>
      </c>
      <c r="I18" s="573">
        <v>616</v>
      </c>
      <c r="J18" s="574">
        <f t="shared" si="0"/>
        <v>616</v>
      </c>
      <c r="K18" s="574">
        <v>127</v>
      </c>
      <c r="L18" s="916"/>
      <c r="M18" s="916"/>
      <c r="N18" s="583">
        <f t="shared" ref="N18:N27" si="2">J18/K18</f>
        <v>4.8503937007874018</v>
      </c>
    </row>
    <row r="19" spans="2:14" s="570" customFormat="1" ht="14.25" hidden="1">
      <c r="B19" s="571">
        <v>42064</v>
      </c>
      <c r="C19" s="572">
        <f>2+2</f>
        <v>4</v>
      </c>
      <c r="D19" s="572">
        <v>6</v>
      </c>
      <c r="E19" s="572">
        <f t="shared" si="1"/>
        <v>10</v>
      </c>
      <c r="F19" s="572">
        <f>112+16+11</f>
        <v>139</v>
      </c>
      <c r="G19" s="575">
        <v>27455.850000000002</v>
      </c>
      <c r="H19" s="573">
        <f>20+9.1</f>
        <v>29.1</v>
      </c>
      <c r="I19" s="573">
        <v>1080</v>
      </c>
      <c r="J19" s="574">
        <f t="shared" si="0"/>
        <v>1109.0999999999999</v>
      </c>
      <c r="K19" s="574">
        <v>130</v>
      </c>
      <c r="L19" s="916"/>
      <c r="M19" s="916"/>
      <c r="N19" s="583">
        <f t="shared" si="2"/>
        <v>8.5315384615384602</v>
      </c>
    </row>
    <row r="20" spans="2:14" s="570" customFormat="1" ht="14.25" hidden="1">
      <c r="B20" s="571">
        <v>42095</v>
      </c>
      <c r="C20" s="572">
        <v>2</v>
      </c>
      <c r="D20" s="572">
        <v>5</v>
      </c>
      <c r="E20" s="572">
        <f t="shared" si="1"/>
        <v>7</v>
      </c>
      <c r="F20" s="572">
        <f>8+12+4</f>
        <v>24</v>
      </c>
      <c r="G20" s="575">
        <v>10684.369999999999</v>
      </c>
      <c r="H20" s="573">
        <f>18+7</f>
        <v>25</v>
      </c>
      <c r="I20" s="573">
        <v>296</v>
      </c>
      <c r="J20" s="574">
        <f t="shared" si="0"/>
        <v>321</v>
      </c>
      <c r="K20" s="574">
        <v>134</v>
      </c>
      <c r="L20" s="916"/>
      <c r="M20" s="916"/>
      <c r="N20" s="583">
        <f t="shared" si="2"/>
        <v>2.3955223880597014</v>
      </c>
    </row>
    <row r="21" spans="2:14" s="570" customFormat="1" ht="14.25" hidden="1">
      <c r="B21" s="571">
        <v>42125</v>
      </c>
      <c r="C21" s="572">
        <v>1</v>
      </c>
      <c r="D21" s="572">
        <v>8</v>
      </c>
      <c r="E21" s="572">
        <f t="shared" si="1"/>
        <v>9</v>
      </c>
      <c r="F21" s="572">
        <f>85+4</f>
        <v>89</v>
      </c>
      <c r="G21" s="575">
        <v>11600.470000000001</v>
      </c>
      <c r="H21" s="573">
        <v>10</v>
      </c>
      <c r="I21" s="573">
        <v>840</v>
      </c>
      <c r="J21" s="574">
        <f t="shared" si="0"/>
        <v>850</v>
      </c>
      <c r="K21" s="574">
        <v>133</v>
      </c>
      <c r="L21" s="916"/>
      <c r="M21" s="916"/>
      <c r="N21" s="583">
        <f t="shared" si="2"/>
        <v>6.3909774436090228</v>
      </c>
    </row>
    <row r="22" spans="2:14" s="570" customFormat="1" ht="14.25" hidden="1">
      <c r="B22" s="571">
        <v>42156</v>
      </c>
      <c r="C22" s="572">
        <v>3</v>
      </c>
      <c r="D22" s="572">
        <v>3</v>
      </c>
      <c r="E22" s="572">
        <f t="shared" si="1"/>
        <v>6</v>
      </c>
      <c r="F22" s="572">
        <f>12+42</f>
        <v>54</v>
      </c>
      <c r="G22" s="575">
        <v>16591.91</v>
      </c>
      <c r="H22" s="573">
        <v>111</v>
      </c>
      <c r="I22" s="573">
        <v>392</v>
      </c>
      <c r="J22" s="574">
        <f t="shared" si="0"/>
        <v>503</v>
      </c>
      <c r="K22" s="574">
        <v>136</v>
      </c>
      <c r="L22" s="916"/>
      <c r="M22" s="916"/>
      <c r="N22" s="583">
        <f t="shared" si="2"/>
        <v>3.6985294117647061</v>
      </c>
    </row>
    <row r="23" spans="2:14" s="570" customFormat="1" ht="14.25" hidden="1">
      <c r="B23" s="571">
        <v>42186</v>
      </c>
      <c r="C23" s="572">
        <v>7</v>
      </c>
      <c r="D23" s="572">
        <v>5</v>
      </c>
      <c r="E23" s="572">
        <f t="shared" si="1"/>
        <v>12</v>
      </c>
      <c r="F23" s="572">
        <f>6+85</f>
        <v>91</v>
      </c>
      <c r="G23" s="575">
        <v>6732.7</v>
      </c>
      <c r="H23" s="573">
        <v>106</v>
      </c>
      <c r="I23" s="573">
        <v>232</v>
      </c>
      <c r="J23" s="574">
        <f t="shared" si="0"/>
        <v>338</v>
      </c>
      <c r="K23" s="574">
        <v>132</v>
      </c>
      <c r="L23" s="916"/>
      <c r="M23" s="916"/>
      <c r="N23" s="583">
        <f t="shared" si="2"/>
        <v>2.5606060606060606</v>
      </c>
    </row>
    <row r="24" spans="2:14" s="570" customFormat="1" ht="14.25" hidden="1">
      <c r="B24" s="571">
        <v>42217</v>
      </c>
      <c r="C24" s="572">
        <v>4</v>
      </c>
      <c r="D24" s="572">
        <v>0</v>
      </c>
      <c r="E24" s="572">
        <f t="shared" si="1"/>
        <v>4</v>
      </c>
      <c r="F24" s="572">
        <v>51</v>
      </c>
      <c r="G24" s="575">
        <v>0</v>
      </c>
      <c r="H24" s="573">
        <v>254</v>
      </c>
      <c r="I24" s="573">
        <v>0</v>
      </c>
      <c r="J24" s="574">
        <f t="shared" si="0"/>
        <v>254</v>
      </c>
      <c r="K24" s="574">
        <v>133</v>
      </c>
      <c r="L24" s="916"/>
      <c r="M24" s="916"/>
      <c r="N24" s="583">
        <f t="shared" si="2"/>
        <v>1.9097744360902256</v>
      </c>
    </row>
    <row r="25" spans="2:14" s="570" customFormat="1" ht="14.25" hidden="1">
      <c r="B25" s="571">
        <v>42248</v>
      </c>
      <c r="C25" s="572">
        <v>0</v>
      </c>
      <c r="D25" s="572">
        <v>2</v>
      </c>
      <c r="E25" s="572">
        <f t="shared" si="1"/>
        <v>2</v>
      </c>
      <c r="F25" s="572">
        <v>2</v>
      </c>
      <c r="G25" s="575">
        <v>3404.72</v>
      </c>
      <c r="H25" s="573">
        <v>0</v>
      </c>
      <c r="I25" s="573">
        <v>40</v>
      </c>
      <c r="J25" s="574">
        <f t="shared" si="0"/>
        <v>40</v>
      </c>
      <c r="K25" s="573">
        <v>134</v>
      </c>
      <c r="L25" s="917"/>
      <c r="M25" s="917"/>
      <c r="N25" s="583">
        <f t="shared" si="2"/>
        <v>0.29850746268656714</v>
      </c>
    </row>
    <row r="26" spans="2:14" s="570" customFormat="1" ht="14.25" hidden="1">
      <c r="B26" s="571">
        <v>42278</v>
      </c>
      <c r="C26" s="576">
        <v>2</v>
      </c>
      <c r="D26" s="576">
        <v>1</v>
      </c>
      <c r="E26" s="576">
        <v>3</v>
      </c>
      <c r="F26" s="576">
        <v>14</v>
      </c>
      <c r="G26" s="577">
        <v>0</v>
      </c>
      <c r="H26" s="578">
        <v>28</v>
      </c>
      <c r="I26" s="578">
        <v>44</v>
      </c>
      <c r="J26" s="579">
        <v>72</v>
      </c>
      <c r="K26" s="578">
        <v>134</v>
      </c>
      <c r="L26" s="918"/>
      <c r="M26" s="918"/>
      <c r="N26" s="583">
        <f t="shared" si="2"/>
        <v>0.53731343283582089</v>
      </c>
    </row>
    <row r="27" spans="2:14" s="570" customFormat="1" ht="14.25" hidden="1">
      <c r="B27" s="571">
        <v>42309</v>
      </c>
      <c r="C27" s="631">
        <v>6</v>
      </c>
      <c r="D27" s="631">
        <v>4</v>
      </c>
      <c r="E27" s="631">
        <v>10</v>
      </c>
      <c r="F27" s="631">
        <v>45</v>
      </c>
      <c r="G27" s="632">
        <v>2330.84</v>
      </c>
      <c r="H27" s="633">
        <v>44</v>
      </c>
      <c r="I27" s="633">
        <v>156</v>
      </c>
      <c r="J27" s="633">
        <v>200</v>
      </c>
      <c r="K27" s="633">
        <v>132</v>
      </c>
      <c r="L27" s="919"/>
      <c r="M27" s="919"/>
      <c r="N27" s="583">
        <f t="shared" si="2"/>
        <v>1.5151515151515151</v>
      </c>
    </row>
    <row r="28" spans="2:14" s="570" customFormat="1" ht="14.25" hidden="1">
      <c r="B28" s="571">
        <v>42339</v>
      </c>
      <c r="C28" s="631">
        <v>1</v>
      </c>
      <c r="D28" s="631"/>
      <c r="E28" s="631">
        <v>1</v>
      </c>
      <c r="F28" s="631">
        <v>11</v>
      </c>
      <c r="G28" s="632">
        <v>0</v>
      </c>
      <c r="H28" s="633">
        <v>264</v>
      </c>
      <c r="I28" s="633">
        <v>0</v>
      </c>
      <c r="J28" s="633">
        <v>264</v>
      </c>
      <c r="K28" s="633">
        <v>133</v>
      </c>
      <c r="L28" s="919"/>
      <c r="M28" s="919"/>
      <c r="N28" s="583">
        <f>J28/K28</f>
        <v>1.9849624060150375</v>
      </c>
    </row>
    <row r="29" spans="2:14" s="570" customFormat="1" ht="15" hidden="1" thickBot="1">
      <c r="B29" s="580" t="s">
        <v>214</v>
      </c>
      <c r="C29" s="581"/>
      <c r="D29" s="581"/>
      <c r="E29" s="581"/>
      <c r="F29" s="581"/>
      <c r="G29" s="582">
        <f>SUM(G17:G28)</f>
        <v>108445.55</v>
      </c>
      <c r="H29" s="582">
        <f>SUM(H17:H28)</f>
        <v>890.1</v>
      </c>
      <c r="I29" s="582">
        <f>SUM(I17:I28)</f>
        <v>4118</v>
      </c>
      <c r="J29" s="581"/>
      <c r="K29" s="581"/>
      <c r="L29" s="920"/>
      <c r="M29" s="920"/>
      <c r="N29" s="585">
        <f>SUM(N17:N28)</f>
        <v>38.288030817505174</v>
      </c>
    </row>
    <row r="30" spans="2:14" s="570" customFormat="1" ht="14.25" hidden="1">
      <c r="B30" s="923"/>
      <c r="C30" s="924"/>
      <c r="D30" s="924"/>
      <c r="E30" s="924"/>
      <c r="F30" s="924"/>
      <c r="G30" s="924"/>
      <c r="H30" s="924"/>
      <c r="I30" s="924"/>
      <c r="J30" s="924"/>
      <c r="K30" s="924"/>
      <c r="L30" s="924"/>
      <c r="M30" s="924"/>
      <c r="N30" s="925"/>
    </row>
    <row r="31" spans="2:14" ht="15" thickBot="1">
      <c r="B31" s="926"/>
      <c r="C31" s="927"/>
      <c r="D31" s="728"/>
      <c r="E31" s="728"/>
      <c r="F31" s="728"/>
      <c r="G31" s="728"/>
      <c r="H31" s="728"/>
      <c r="I31" s="728"/>
      <c r="J31" s="728"/>
      <c r="K31" s="728"/>
      <c r="L31" s="728"/>
      <c r="M31" s="728"/>
      <c r="N31" s="922"/>
    </row>
    <row r="32" spans="2:14" ht="57">
      <c r="B32" s="567" t="s">
        <v>70</v>
      </c>
      <c r="C32" s="568" t="s">
        <v>485</v>
      </c>
      <c r="D32" s="568" t="s">
        <v>486</v>
      </c>
      <c r="E32" s="568" t="s">
        <v>487</v>
      </c>
      <c r="F32" s="568" t="s">
        <v>444</v>
      </c>
      <c r="G32" s="568" t="s">
        <v>488</v>
      </c>
      <c r="H32" s="568" t="s">
        <v>537</v>
      </c>
      <c r="I32" s="568" t="s">
        <v>538</v>
      </c>
      <c r="J32" s="568" t="s">
        <v>539</v>
      </c>
      <c r="K32" s="568" t="s">
        <v>540</v>
      </c>
      <c r="L32" s="568" t="s">
        <v>541</v>
      </c>
      <c r="M32" s="568" t="s">
        <v>542</v>
      </c>
      <c r="N32" s="569" t="s">
        <v>543</v>
      </c>
    </row>
    <row r="33" spans="2:14" ht="15.75" hidden="1">
      <c r="B33" s="951">
        <v>42736</v>
      </c>
      <c r="C33" s="952">
        <v>0</v>
      </c>
      <c r="D33" s="952">
        <v>9</v>
      </c>
      <c r="E33" s="952">
        <f>SUM(C33:D33)</f>
        <v>9</v>
      </c>
      <c r="F33" s="952">
        <v>200</v>
      </c>
      <c r="G33" s="953">
        <v>4631.5600000000004</v>
      </c>
      <c r="H33" s="954">
        <v>0</v>
      </c>
      <c r="I33" s="954">
        <v>3600</v>
      </c>
      <c r="J33" s="955">
        <v>0</v>
      </c>
      <c r="K33" s="954">
        <v>327</v>
      </c>
      <c r="L33" s="954">
        <f>SUM(H33:I33)</f>
        <v>3600</v>
      </c>
      <c r="M33" s="954">
        <v>129</v>
      </c>
      <c r="N33" s="956">
        <f>L33/M33</f>
        <v>27.906976744186046</v>
      </c>
    </row>
    <row r="34" spans="2:14" ht="15.75" hidden="1">
      <c r="B34" s="951">
        <v>42767</v>
      </c>
      <c r="C34" s="952">
        <v>0</v>
      </c>
      <c r="D34" s="952">
        <v>2</v>
      </c>
      <c r="E34" s="952">
        <f t="shared" ref="E34:E49" si="3">SUM(C34:D34)</f>
        <v>2</v>
      </c>
      <c r="F34" s="952">
        <v>3</v>
      </c>
      <c r="G34" s="953">
        <v>1340</v>
      </c>
      <c r="H34" s="954">
        <v>0</v>
      </c>
      <c r="I34" s="954">
        <v>37</v>
      </c>
      <c r="J34" s="954">
        <v>0</v>
      </c>
      <c r="K34" s="954">
        <v>21</v>
      </c>
      <c r="L34" s="954">
        <f>SUM(H34:I34)</f>
        <v>37</v>
      </c>
      <c r="M34" s="954">
        <v>135</v>
      </c>
      <c r="N34" s="956">
        <f t="shared" ref="N34:N38" si="4">L34/M34</f>
        <v>0.27407407407407408</v>
      </c>
    </row>
    <row r="35" spans="2:14" ht="15.75" hidden="1">
      <c r="B35" s="951">
        <v>42795</v>
      </c>
      <c r="C35" s="952">
        <v>2</v>
      </c>
      <c r="D35" s="952">
        <v>9</v>
      </c>
      <c r="E35" s="952">
        <f t="shared" si="3"/>
        <v>11</v>
      </c>
      <c r="F35" s="952">
        <v>64</v>
      </c>
      <c r="G35" s="953">
        <v>7980</v>
      </c>
      <c r="H35" s="954">
        <v>32</v>
      </c>
      <c r="I35" s="954">
        <v>459</v>
      </c>
      <c r="J35" s="954">
        <v>2.5</v>
      </c>
      <c r="K35" s="954">
        <v>39</v>
      </c>
      <c r="L35" s="954">
        <f>SUM(H35:I35)</f>
        <v>491</v>
      </c>
      <c r="M35" s="954">
        <v>139</v>
      </c>
      <c r="N35" s="956">
        <f t="shared" si="4"/>
        <v>3.5323741007194243</v>
      </c>
    </row>
    <row r="36" spans="2:14" ht="15.75" hidden="1">
      <c r="B36" s="951">
        <v>42826</v>
      </c>
      <c r="C36" s="952">
        <v>3</v>
      </c>
      <c r="D36" s="952">
        <v>4</v>
      </c>
      <c r="E36" s="952">
        <f t="shared" si="3"/>
        <v>7</v>
      </c>
      <c r="F36" s="952">
        <v>39</v>
      </c>
      <c r="G36" s="953">
        <v>2253.6</v>
      </c>
      <c r="H36" s="954">
        <v>35</v>
      </c>
      <c r="I36" s="954">
        <v>76</v>
      </c>
      <c r="J36" s="954">
        <v>3</v>
      </c>
      <c r="K36" s="954">
        <v>76</v>
      </c>
      <c r="L36" s="954">
        <v>111</v>
      </c>
      <c r="M36" s="954">
        <v>144</v>
      </c>
      <c r="N36" s="956">
        <f t="shared" si="4"/>
        <v>0.77083333333333337</v>
      </c>
    </row>
    <row r="37" spans="2:14" ht="15.75" hidden="1">
      <c r="B37" s="951">
        <v>42856</v>
      </c>
      <c r="C37" s="952">
        <v>4</v>
      </c>
      <c r="D37" s="952">
        <v>6</v>
      </c>
      <c r="E37" s="952">
        <f t="shared" si="3"/>
        <v>10</v>
      </c>
      <c r="F37" s="952">
        <v>58</v>
      </c>
      <c r="G37" s="953">
        <v>5888.26</v>
      </c>
      <c r="H37" s="954">
        <v>50.5</v>
      </c>
      <c r="I37" s="954">
        <v>244</v>
      </c>
      <c r="J37" s="954">
        <v>4.5</v>
      </c>
      <c r="K37" s="954">
        <v>172</v>
      </c>
      <c r="L37" s="954">
        <v>294.5</v>
      </c>
      <c r="M37" s="954">
        <v>149</v>
      </c>
      <c r="N37" s="956">
        <f t="shared" si="4"/>
        <v>1.976510067114094</v>
      </c>
    </row>
    <row r="38" spans="2:14" ht="15.75" hidden="1">
      <c r="B38" s="951">
        <v>42887</v>
      </c>
      <c r="C38" s="952">
        <v>0</v>
      </c>
      <c r="D38" s="952">
        <v>8</v>
      </c>
      <c r="E38" s="952">
        <f t="shared" si="3"/>
        <v>8</v>
      </c>
      <c r="F38" s="952">
        <v>70</v>
      </c>
      <c r="G38" s="953">
        <v>16042.4</v>
      </c>
      <c r="H38" s="954">
        <v>0</v>
      </c>
      <c r="I38" s="954">
        <v>2322</v>
      </c>
      <c r="J38" s="954">
        <v>0</v>
      </c>
      <c r="K38" s="954">
        <v>459</v>
      </c>
      <c r="L38" s="954">
        <v>2322</v>
      </c>
      <c r="M38" s="954">
        <v>155</v>
      </c>
      <c r="N38" s="956">
        <f t="shared" si="4"/>
        <v>14.980645161290322</v>
      </c>
    </row>
    <row r="39" spans="2:14" ht="15.75" hidden="1">
      <c r="B39" s="951">
        <v>42917</v>
      </c>
      <c r="C39" s="952">
        <v>3</v>
      </c>
      <c r="D39" s="952">
        <v>4</v>
      </c>
      <c r="E39" s="952">
        <f t="shared" si="3"/>
        <v>7</v>
      </c>
      <c r="F39" s="952">
        <v>40</v>
      </c>
      <c r="G39" s="953">
        <v>2213.7799999999997</v>
      </c>
      <c r="H39" s="954">
        <v>62</v>
      </c>
      <c r="I39" s="954">
        <v>84</v>
      </c>
      <c r="J39" s="954">
        <v>8</v>
      </c>
      <c r="K39" s="954">
        <v>58</v>
      </c>
      <c r="L39" s="954">
        <v>146</v>
      </c>
      <c r="M39" s="954">
        <v>157</v>
      </c>
      <c r="N39" s="956">
        <f>L39/M39</f>
        <v>0.92993630573248409</v>
      </c>
    </row>
    <row r="40" spans="2:14" ht="15.75" hidden="1">
      <c r="B40" s="951">
        <v>42948</v>
      </c>
      <c r="C40" s="952">
        <v>5</v>
      </c>
      <c r="D40" s="952">
        <v>6</v>
      </c>
      <c r="E40" s="952">
        <f t="shared" si="3"/>
        <v>11</v>
      </c>
      <c r="F40" s="952">
        <v>79</v>
      </c>
      <c r="G40" s="953">
        <v>2969.32</v>
      </c>
      <c r="H40" s="954">
        <v>139</v>
      </c>
      <c r="I40" s="954">
        <v>138</v>
      </c>
      <c r="J40" s="954">
        <v>13</v>
      </c>
      <c r="K40" s="954">
        <v>104</v>
      </c>
      <c r="L40" s="954">
        <v>277</v>
      </c>
      <c r="M40" s="954">
        <v>155</v>
      </c>
      <c r="N40" s="956">
        <f t="shared" ref="N40:N49" si="5">L40/M40</f>
        <v>1.7870967741935484</v>
      </c>
    </row>
    <row r="41" spans="2:14" ht="15.75">
      <c r="B41" s="951">
        <v>42979</v>
      </c>
      <c r="C41" s="952">
        <v>18</v>
      </c>
      <c r="D41" s="952">
        <v>6</v>
      </c>
      <c r="E41" s="952">
        <f t="shared" si="3"/>
        <v>24</v>
      </c>
      <c r="F41" s="952">
        <v>257</v>
      </c>
      <c r="G41" s="953">
        <v>8724</v>
      </c>
      <c r="H41" s="954">
        <v>451</v>
      </c>
      <c r="I41" s="954">
        <v>444</v>
      </c>
      <c r="J41" s="954">
        <v>36.700000000000003</v>
      </c>
      <c r="K41" s="954">
        <v>186</v>
      </c>
      <c r="L41" s="954">
        <v>895</v>
      </c>
      <c r="M41" s="954">
        <v>155</v>
      </c>
      <c r="N41" s="956">
        <f t="shared" si="5"/>
        <v>5.774193548387097</v>
      </c>
    </row>
    <row r="42" spans="2:14" ht="15.75">
      <c r="B42" s="951">
        <v>43009</v>
      </c>
      <c r="C42" s="952">
        <v>4</v>
      </c>
      <c r="D42" s="952">
        <v>8</v>
      </c>
      <c r="E42" s="952">
        <f t="shared" si="3"/>
        <v>12</v>
      </c>
      <c r="F42" s="952">
        <v>137</v>
      </c>
      <c r="G42" s="953">
        <v>2770</v>
      </c>
      <c r="H42" s="954">
        <v>45</v>
      </c>
      <c r="I42" s="954">
        <v>754</v>
      </c>
      <c r="J42" s="954">
        <v>9</v>
      </c>
      <c r="K42" s="954">
        <v>166</v>
      </c>
      <c r="L42" s="954">
        <v>799</v>
      </c>
      <c r="M42" s="954">
        <v>159</v>
      </c>
      <c r="N42" s="956">
        <f t="shared" si="5"/>
        <v>5.0251572327044025</v>
      </c>
    </row>
    <row r="43" spans="2:14" ht="15.75">
      <c r="B43" s="951">
        <v>43040</v>
      </c>
      <c r="C43" s="952">
        <v>0</v>
      </c>
      <c r="D43" s="952">
        <v>2</v>
      </c>
      <c r="E43" s="952">
        <f t="shared" si="3"/>
        <v>2</v>
      </c>
      <c r="F43" s="952">
        <v>2</v>
      </c>
      <c r="G43" s="953">
        <v>960</v>
      </c>
      <c r="H43" s="954">
        <v>0</v>
      </c>
      <c r="I43" s="954">
        <v>78</v>
      </c>
      <c r="J43" s="954">
        <v>0</v>
      </c>
      <c r="K43" s="954">
        <v>78</v>
      </c>
      <c r="L43" s="954">
        <v>78</v>
      </c>
      <c r="M43" s="954">
        <v>159</v>
      </c>
      <c r="N43" s="956">
        <f t="shared" si="5"/>
        <v>0.49056603773584906</v>
      </c>
    </row>
    <row r="44" spans="2:14" ht="15.75">
      <c r="B44" s="951">
        <v>43070</v>
      </c>
      <c r="C44" s="952">
        <v>0</v>
      </c>
      <c r="D44" s="952">
        <v>6</v>
      </c>
      <c r="E44" s="952">
        <f t="shared" si="3"/>
        <v>6</v>
      </c>
      <c r="F44" s="952">
        <v>114</v>
      </c>
      <c r="G44" s="953">
        <v>15473.6</v>
      </c>
      <c r="H44" s="954">
        <v>0</v>
      </c>
      <c r="I44" s="954">
        <v>974</v>
      </c>
      <c r="J44" s="954">
        <v>0</v>
      </c>
      <c r="K44" s="954">
        <v>165</v>
      </c>
      <c r="L44" s="954">
        <v>974</v>
      </c>
      <c r="M44" s="954">
        <v>160</v>
      </c>
      <c r="N44" s="956">
        <f t="shared" si="5"/>
        <v>6.0875000000000004</v>
      </c>
    </row>
    <row r="45" spans="2:14" ht="15.75">
      <c r="B45" s="951">
        <v>43101</v>
      </c>
      <c r="C45" s="952">
        <v>5</v>
      </c>
      <c r="D45" s="952">
        <v>7</v>
      </c>
      <c r="E45" s="952">
        <f t="shared" si="3"/>
        <v>12</v>
      </c>
      <c r="F45" s="952">
        <v>238</v>
      </c>
      <c r="G45" s="953">
        <v>13630</v>
      </c>
      <c r="H45" s="954">
        <v>253</v>
      </c>
      <c r="I45" s="954">
        <v>1500</v>
      </c>
      <c r="J45" s="954">
        <v>138</v>
      </c>
      <c r="K45" s="954">
        <v>1372</v>
      </c>
      <c r="L45" s="954">
        <v>1753</v>
      </c>
      <c r="M45" s="954">
        <v>153</v>
      </c>
      <c r="N45" s="956">
        <f t="shared" si="5"/>
        <v>11.457516339869281</v>
      </c>
    </row>
    <row r="46" spans="2:14" ht="15.75">
      <c r="B46" s="951">
        <v>43132</v>
      </c>
      <c r="C46" s="952">
        <v>0</v>
      </c>
      <c r="D46" s="952">
        <v>11</v>
      </c>
      <c r="E46" s="952">
        <f t="shared" si="3"/>
        <v>11</v>
      </c>
      <c r="F46" s="952">
        <v>54</v>
      </c>
      <c r="G46" s="953">
        <v>1030</v>
      </c>
      <c r="H46" s="954">
        <v>0</v>
      </c>
      <c r="I46" s="954">
        <v>782</v>
      </c>
      <c r="J46" s="954">
        <v>0</v>
      </c>
      <c r="K46" s="954">
        <v>313.5</v>
      </c>
      <c r="L46" s="954">
        <v>782</v>
      </c>
      <c r="M46" s="954">
        <v>159</v>
      </c>
      <c r="N46" s="956">
        <f t="shared" si="5"/>
        <v>4.9182389937106921</v>
      </c>
    </row>
    <row r="47" spans="2:14" ht="15.75">
      <c r="B47" s="951">
        <v>43160</v>
      </c>
      <c r="C47" s="952">
        <v>2</v>
      </c>
      <c r="D47" s="952">
        <v>5</v>
      </c>
      <c r="E47" s="952">
        <f t="shared" si="3"/>
        <v>7</v>
      </c>
      <c r="F47" s="952">
        <v>119</v>
      </c>
      <c r="G47" s="953">
        <v>2360</v>
      </c>
      <c r="H47" s="954">
        <v>46</v>
      </c>
      <c r="I47" s="954">
        <v>543</v>
      </c>
      <c r="J47" s="954">
        <v>18</v>
      </c>
      <c r="K47" s="954">
        <v>157.13</v>
      </c>
      <c r="L47" s="954">
        <v>589</v>
      </c>
      <c r="M47" s="954">
        <v>165</v>
      </c>
      <c r="N47" s="956">
        <f t="shared" si="5"/>
        <v>3.5696969696969698</v>
      </c>
    </row>
    <row r="48" spans="2:14" ht="15.75">
      <c r="B48" s="951">
        <v>43191</v>
      </c>
      <c r="C48" s="1770">
        <v>1</v>
      </c>
      <c r="D48" s="1770">
        <v>10</v>
      </c>
      <c r="E48" s="952">
        <f t="shared" si="3"/>
        <v>11</v>
      </c>
      <c r="F48" s="1770">
        <v>29</v>
      </c>
      <c r="G48" s="1771">
        <v>2720</v>
      </c>
      <c r="H48" s="1772">
        <v>4</v>
      </c>
      <c r="I48" s="1772">
        <v>247</v>
      </c>
      <c r="J48" s="1772">
        <v>4</v>
      </c>
      <c r="K48" s="1772">
        <v>170</v>
      </c>
      <c r="L48" s="1773">
        <v>251</v>
      </c>
      <c r="M48" s="1774">
        <v>168</v>
      </c>
      <c r="N48" s="956">
        <f t="shared" si="5"/>
        <v>1.4940476190476191</v>
      </c>
    </row>
    <row r="49" spans="2:14" s="2637" customFormat="1" ht="15.75">
      <c r="B49" s="951">
        <v>43221</v>
      </c>
      <c r="C49" s="1770">
        <v>1</v>
      </c>
      <c r="D49" s="1770">
        <v>13</v>
      </c>
      <c r="E49" s="952">
        <f t="shared" si="3"/>
        <v>14</v>
      </c>
      <c r="F49" s="1770">
        <v>155</v>
      </c>
      <c r="G49" s="1771">
        <v>2710.8</v>
      </c>
      <c r="H49" s="1772">
        <v>47</v>
      </c>
      <c r="I49" s="1772">
        <v>642</v>
      </c>
      <c r="J49" s="1772">
        <v>1.5</v>
      </c>
      <c r="K49" s="1772">
        <v>170.5</v>
      </c>
      <c r="L49" s="1773">
        <v>689</v>
      </c>
      <c r="M49" s="1774">
        <v>173</v>
      </c>
      <c r="N49" s="956">
        <f t="shared" si="5"/>
        <v>3.9826589595375723</v>
      </c>
    </row>
    <row r="50" spans="2:14" s="2713" customFormat="1" ht="15.75">
      <c r="B50" s="2716">
        <v>43252</v>
      </c>
      <c r="C50" s="1770">
        <v>6</v>
      </c>
      <c r="D50" s="1770">
        <v>2</v>
      </c>
      <c r="E50" s="952">
        <f t="shared" ref="E50" si="6">SUM(C50:D50)</f>
        <v>8</v>
      </c>
      <c r="F50" s="1770">
        <v>24</v>
      </c>
      <c r="G50" s="1771">
        <v>2960</v>
      </c>
      <c r="H50" s="1772">
        <v>136.30000000000001</v>
      </c>
      <c r="I50" s="1772">
        <v>40</v>
      </c>
      <c r="J50" s="1772">
        <v>136.30000000000001</v>
      </c>
      <c r="K50" s="1772">
        <v>40</v>
      </c>
      <c r="L50" s="1773">
        <v>176.3</v>
      </c>
      <c r="M50" s="1774">
        <v>167</v>
      </c>
      <c r="N50" s="956">
        <f t="shared" ref="N50" si="7">L50/M50</f>
        <v>1.055688622754491</v>
      </c>
    </row>
    <row r="51" spans="2:14" s="2713" customFormat="1" ht="15.75">
      <c r="B51" s="2716">
        <v>43282</v>
      </c>
      <c r="C51" s="1770">
        <v>0</v>
      </c>
      <c r="D51" s="1770">
        <v>3</v>
      </c>
      <c r="E51" s="952">
        <v>3</v>
      </c>
      <c r="F51" s="1770">
        <v>2</v>
      </c>
      <c r="G51" s="1771">
        <v>1476.73</v>
      </c>
      <c r="H51" s="1772">
        <v>0</v>
      </c>
      <c r="I51" s="1772">
        <v>76</v>
      </c>
      <c r="J51" s="1772">
        <v>0</v>
      </c>
      <c r="K51" s="1772">
        <v>76</v>
      </c>
      <c r="L51" s="1773">
        <v>76</v>
      </c>
      <c r="M51" s="1774">
        <v>167</v>
      </c>
      <c r="N51" s="956">
        <v>0.45508982035928142</v>
      </c>
    </row>
    <row r="52" spans="2:14" s="2713" customFormat="1" ht="15.75">
      <c r="B52" s="2716">
        <v>43313</v>
      </c>
      <c r="C52" s="1770">
        <v>3</v>
      </c>
      <c r="D52" s="1770">
        <v>1</v>
      </c>
      <c r="E52" s="952">
        <v>4</v>
      </c>
      <c r="F52" s="1770">
        <v>24</v>
      </c>
      <c r="G52" s="1771">
        <v>4510</v>
      </c>
      <c r="H52" s="1772">
        <v>616</v>
      </c>
      <c r="I52" s="1772">
        <v>120</v>
      </c>
      <c r="J52" s="1772">
        <v>146</v>
      </c>
      <c r="K52" s="1772">
        <v>40</v>
      </c>
      <c r="L52" s="1773">
        <v>736</v>
      </c>
      <c r="M52" s="1774">
        <v>174</v>
      </c>
      <c r="N52" s="956">
        <v>4.2300000000000004</v>
      </c>
    </row>
    <row r="53" spans="2:14" ht="15.75">
      <c r="B53" s="2716">
        <v>43344</v>
      </c>
      <c r="C53" s="1770">
        <v>0</v>
      </c>
      <c r="D53" s="1770">
        <v>6</v>
      </c>
      <c r="E53" s="2810">
        <v>6</v>
      </c>
      <c r="F53" s="1770">
        <v>42</v>
      </c>
      <c r="G53" s="1771">
        <v>16152.93</v>
      </c>
      <c r="H53" s="1772">
        <v>0</v>
      </c>
      <c r="I53" s="1772">
        <v>692</v>
      </c>
      <c r="J53" s="1772">
        <v>0</v>
      </c>
      <c r="K53" s="1772">
        <v>206</v>
      </c>
      <c r="L53" s="1773">
        <v>692</v>
      </c>
      <c r="M53" s="1774">
        <v>174</v>
      </c>
      <c r="N53" s="956">
        <v>3.98</v>
      </c>
    </row>
    <row r="54" spans="2:14" ht="12" thickBot="1">
      <c r="B54" s="762"/>
      <c r="C54" s="728"/>
      <c r="D54" s="728"/>
      <c r="E54" s="728"/>
      <c r="F54" s="728"/>
      <c r="G54" s="728"/>
      <c r="H54" s="728"/>
      <c r="I54" s="728"/>
      <c r="J54" s="728"/>
      <c r="K54" s="728"/>
      <c r="L54" s="728"/>
      <c r="M54" s="728"/>
      <c r="N54" s="922"/>
    </row>
    <row r="55" spans="2:14" ht="16.5" thickBot="1">
      <c r="B55" s="957" t="s">
        <v>214</v>
      </c>
      <c r="C55" s="958"/>
      <c r="D55" s="958"/>
      <c r="E55" s="958">
        <f>SUM(E39:E53)</f>
        <v>138</v>
      </c>
      <c r="F55" s="958"/>
      <c r="G55" s="959">
        <f>SUM(G39:G53)</f>
        <v>80661.16</v>
      </c>
      <c r="H55" s="959">
        <f>SUM(H39:H53)</f>
        <v>1799.3</v>
      </c>
      <c r="I55" s="959">
        <f>SUM(I39:I53)</f>
        <v>7114</v>
      </c>
      <c r="J55" s="959"/>
      <c r="K55" s="959"/>
      <c r="L55" s="959">
        <f>SUM(L39:L53)</f>
        <v>8913.2999999999993</v>
      </c>
      <c r="M55" s="959"/>
      <c r="N55" s="959"/>
    </row>
    <row r="56" spans="2:14" ht="12" thickBot="1">
      <c r="B56" s="762"/>
      <c r="C56" s="728"/>
      <c r="D56" s="728"/>
      <c r="E56" s="728"/>
      <c r="F56" s="728"/>
      <c r="G56" s="728"/>
      <c r="H56" s="728"/>
      <c r="I56" s="728"/>
      <c r="J56" s="728"/>
      <c r="K56" s="728"/>
      <c r="L56" s="728"/>
      <c r="M56" s="728"/>
      <c r="N56" s="922"/>
    </row>
    <row r="57" spans="2:14" s="671" customFormat="1" ht="16.5" hidden="1" thickBot="1">
      <c r="B57" s="3798" t="s">
        <v>519</v>
      </c>
      <c r="C57" s="3799"/>
      <c r="D57" s="3799"/>
      <c r="E57" s="3799"/>
      <c r="F57" s="3799"/>
      <c r="G57" s="3799"/>
      <c r="H57" s="3799"/>
      <c r="I57" s="3799"/>
      <c r="J57" s="3799"/>
      <c r="K57" s="3799"/>
      <c r="L57" s="3799"/>
      <c r="M57" s="3799"/>
      <c r="N57" s="3800"/>
    </row>
    <row r="58" spans="2:14" s="671" customFormat="1" ht="33" hidden="1" customHeight="1">
      <c r="B58" s="3801" t="s">
        <v>520</v>
      </c>
      <c r="C58" s="3802"/>
      <c r="D58" s="3802"/>
      <c r="E58" s="3802"/>
      <c r="F58" s="3802"/>
      <c r="G58" s="3802"/>
      <c r="H58" s="3802"/>
      <c r="I58" s="3802"/>
      <c r="J58" s="3802"/>
      <c r="K58" s="3802"/>
      <c r="L58" s="3802"/>
      <c r="M58" s="3802"/>
      <c r="N58" s="3803"/>
    </row>
    <row r="59" spans="2:14" s="671" customFormat="1" ht="15.75" hidden="1">
      <c r="B59" s="3861" t="s">
        <v>405</v>
      </c>
      <c r="C59" s="3862"/>
      <c r="D59" s="3862"/>
      <c r="E59" s="3862"/>
      <c r="F59" s="3862"/>
      <c r="G59" s="3862"/>
      <c r="H59" s="3862"/>
      <c r="I59" s="3862"/>
      <c r="J59" s="3862"/>
      <c r="K59" s="3862"/>
      <c r="L59" s="3862"/>
      <c r="M59" s="3862"/>
      <c r="N59" s="3863"/>
    </row>
    <row r="60" spans="2:14" s="671" customFormat="1" ht="15" hidden="1">
      <c r="B60" s="3828" t="s">
        <v>521</v>
      </c>
      <c r="C60" s="3829"/>
      <c r="D60" s="3829"/>
      <c r="E60" s="3829"/>
      <c r="F60" s="3829"/>
      <c r="G60" s="3829"/>
      <c r="H60" s="3829"/>
      <c r="I60" s="3829"/>
      <c r="J60" s="3829"/>
      <c r="K60" s="3829"/>
      <c r="L60" s="3829"/>
      <c r="M60" s="3829"/>
      <c r="N60" s="3830"/>
    </row>
    <row r="61" spans="2:14" s="671" customFormat="1" ht="15" hidden="1">
      <c r="B61" s="3828" t="s">
        <v>522</v>
      </c>
      <c r="C61" s="3829"/>
      <c r="D61" s="3829"/>
      <c r="E61" s="3829"/>
      <c r="F61" s="3829"/>
      <c r="G61" s="3829"/>
      <c r="H61" s="3829"/>
      <c r="I61" s="3829"/>
      <c r="J61" s="3829"/>
      <c r="K61" s="3829"/>
      <c r="L61" s="3829"/>
      <c r="M61" s="3829"/>
      <c r="N61" s="3830"/>
    </row>
    <row r="62" spans="2:14" s="671" customFormat="1" ht="15" hidden="1">
      <c r="B62" s="3874"/>
      <c r="C62" s="3875"/>
      <c r="D62" s="3875"/>
      <c r="E62" s="3875"/>
      <c r="F62" s="3875"/>
      <c r="G62" s="3875"/>
      <c r="H62" s="3875"/>
      <c r="I62" s="3875"/>
      <c r="J62" s="3875"/>
      <c r="K62" s="3875"/>
      <c r="L62" s="3875"/>
      <c r="M62" s="3875"/>
      <c r="N62" s="3876"/>
    </row>
    <row r="63" spans="2:14" s="671" customFormat="1" ht="15.75" hidden="1">
      <c r="B63" s="3795" t="s">
        <v>406</v>
      </c>
      <c r="C63" s="3796"/>
      <c r="D63" s="3796"/>
      <c r="E63" s="3796"/>
      <c r="F63" s="3796"/>
      <c r="G63" s="3796"/>
      <c r="H63" s="3796"/>
      <c r="I63" s="3796"/>
      <c r="J63" s="3796"/>
      <c r="K63" s="3796"/>
      <c r="L63" s="3796"/>
      <c r="M63" s="3796"/>
      <c r="N63" s="3797"/>
    </row>
    <row r="64" spans="2:14" s="671" customFormat="1" ht="18" hidden="1" customHeight="1">
      <c r="B64" s="3877"/>
      <c r="C64" s="3878"/>
      <c r="D64" s="3878"/>
      <c r="E64" s="3878"/>
      <c r="F64" s="3878"/>
      <c r="G64" s="3878"/>
      <c r="H64" s="3878"/>
      <c r="I64" s="3878"/>
      <c r="J64" s="3878"/>
      <c r="K64" s="3878"/>
      <c r="L64" s="3878"/>
      <c r="M64" s="3878"/>
      <c r="N64" s="3879"/>
    </row>
    <row r="65" spans="2:14" s="671" customFormat="1" ht="18" hidden="1" customHeight="1">
      <c r="B65" s="3877"/>
      <c r="C65" s="3878"/>
      <c r="D65" s="3878"/>
      <c r="E65" s="3878"/>
      <c r="F65" s="3878"/>
      <c r="G65" s="3878"/>
      <c r="H65" s="3878"/>
      <c r="I65" s="3878"/>
      <c r="J65" s="3878"/>
      <c r="K65" s="3878"/>
      <c r="L65" s="3878"/>
      <c r="M65" s="3878"/>
      <c r="N65" s="3879"/>
    </row>
    <row r="66" spans="2:14" s="671" customFormat="1" ht="15" hidden="1">
      <c r="B66" s="3874"/>
      <c r="C66" s="3875"/>
      <c r="D66" s="3875"/>
      <c r="E66" s="3875"/>
      <c r="F66" s="3875"/>
      <c r="G66" s="3875"/>
      <c r="H66" s="3875"/>
      <c r="I66" s="3875"/>
      <c r="J66" s="3875"/>
      <c r="K66" s="3875"/>
      <c r="L66" s="3875"/>
      <c r="M66" s="3875"/>
      <c r="N66" s="3876"/>
    </row>
    <row r="67" spans="2:14" s="671" customFormat="1" ht="15.75" hidden="1">
      <c r="B67" s="3834" t="s">
        <v>407</v>
      </c>
      <c r="C67" s="3835"/>
      <c r="D67" s="3835"/>
      <c r="E67" s="3835"/>
      <c r="F67" s="3835"/>
      <c r="G67" s="3835"/>
      <c r="H67" s="3835"/>
      <c r="I67" s="3835"/>
      <c r="J67" s="3835"/>
      <c r="K67" s="3835"/>
      <c r="L67" s="3835"/>
      <c r="M67" s="3835"/>
      <c r="N67" s="3836"/>
    </row>
    <row r="68" spans="2:14" s="671" customFormat="1" ht="15" hidden="1">
      <c r="B68" s="3845" t="s">
        <v>531</v>
      </c>
      <c r="C68" s="3846"/>
      <c r="D68" s="3846"/>
      <c r="E68" s="3846"/>
      <c r="F68" s="3846"/>
      <c r="G68" s="3846"/>
      <c r="H68" s="3846"/>
      <c r="I68" s="3846"/>
      <c r="J68" s="3846"/>
      <c r="K68" s="3846"/>
      <c r="L68" s="3846"/>
      <c r="M68" s="3846"/>
      <c r="N68" s="3847"/>
    </row>
    <row r="69" spans="2:14" s="671" customFormat="1" ht="15" hidden="1">
      <c r="B69" s="3845" t="s">
        <v>532</v>
      </c>
      <c r="C69" s="3846"/>
      <c r="D69" s="3846"/>
      <c r="E69" s="3846"/>
      <c r="F69" s="3846"/>
      <c r="G69" s="3846"/>
      <c r="H69" s="3846"/>
      <c r="I69" s="3846"/>
      <c r="J69" s="3846"/>
      <c r="K69" s="3846"/>
      <c r="L69" s="3846"/>
      <c r="M69" s="3846"/>
      <c r="N69" s="3847"/>
    </row>
    <row r="70" spans="2:14" s="671" customFormat="1" ht="15" hidden="1">
      <c r="B70" s="928"/>
      <c r="C70" s="929"/>
      <c r="D70" s="929"/>
      <c r="E70" s="929"/>
      <c r="F70" s="929"/>
      <c r="G70" s="929"/>
      <c r="H70" s="929"/>
      <c r="I70" s="929"/>
      <c r="J70" s="929"/>
      <c r="K70" s="929"/>
      <c r="L70" s="929"/>
      <c r="M70" s="929"/>
      <c r="N70" s="930"/>
    </row>
    <row r="71" spans="2:14" s="671" customFormat="1" ht="15.75" hidden="1">
      <c r="B71" s="3825" t="s">
        <v>408</v>
      </c>
      <c r="C71" s="3826"/>
      <c r="D71" s="3826"/>
      <c r="E71" s="3826"/>
      <c r="F71" s="3826"/>
      <c r="G71" s="3826"/>
      <c r="H71" s="3826"/>
      <c r="I71" s="3826"/>
      <c r="J71" s="3826"/>
      <c r="K71" s="3826"/>
      <c r="L71" s="3826"/>
      <c r="M71" s="3826"/>
      <c r="N71" s="3827"/>
    </row>
    <row r="72" spans="2:14" s="671" customFormat="1" ht="15" hidden="1">
      <c r="B72" s="3828"/>
      <c r="C72" s="3829"/>
      <c r="D72" s="3829"/>
      <c r="E72" s="3829"/>
      <c r="F72" s="3829"/>
      <c r="G72" s="3829"/>
      <c r="H72" s="3829"/>
      <c r="I72" s="3829"/>
      <c r="J72" s="3829"/>
      <c r="K72" s="3829"/>
      <c r="L72" s="3829"/>
      <c r="M72" s="3829"/>
      <c r="N72" s="3830"/>
    </row>
    <row r="73" spans="2:14" s="671" customFormat="1" ht="15" hidden="1">
      <c r="B73" s="928"/>
      <c r="C73" s="929"/>
      <c r="D73" s="929"/>
      <c r="E73" s="929"/>
      <c r="F73" s="929"/>
      <c r="G73" s="929"/>
      <c r="H73" s="929"/>
      <c r="I73" s="929"/>
      <c r="J73" s="929"/>
      <c r="K73" s="929"/>
      <c r="L73" s="929"/>
      <c r="M73" s="929"/>
      <c r="N73" s="930"/>
    </row>
    <row r="74" spans="2:14" s="671" customFormat="1" ht="15.75" hidden="1">
      <c r="B74" s="3831" t="s">
        <v>409</v>
      </c>
      <c r="C74" s="3832"/>
      <c r="D74" s="3832"/>
      <c r="E74" s="3832"/>
      <c r="F74" s="3832"/>
      <c r="G74" s="3832"/>
      <c r="H74" s="3832"/>
      <c r="I74" s="3832"/>
      <c r="J74" s="3832"/>
      <c r="K74" s="3832"/>
      <c r="L74" s="3832"/>
      <c r="M74" s="3832"/>
      <c r="N74" s="3833"/>
    </row>
    <row r="75" spans="2:14" s="671" customFormat="1" ht="15" hidden="1">
      <c r="B75" s="3845" t="s">
        <v>544</v>
      </c>
      <c r="C75" s="3846"/>
      <c r="D75" s="3846"/>
      <c r="E75" s="3846"/>
      <c r="F75" s="3846"/>
      <c r="G75" s="3846"/>
      <c r="H75" s="3846"/>
      <c r="I75" s="3846"/>
      <c r="J75" s="3846"/>
      <c r="K75" s="3846"/>
      <c r="L75" s="3846"/>
      <c r="M75" s="3846"/>
      <c r="N75" s="3847"/>
    </row>
    <row r="76" spans="2:14" s="671" customFormat="1" ht="15" hidden="1">
      <c r="B76" s="3845" t="s">
        <v>545</v>
      </c>
      <c r="C76" s="3846"/>
      <c r="D76" s="3846"/>
      <c r="E76" s="3846"/>
      <c r="F76" s="3846"/>
      <c r="G76" s="3846"/>
      <c r="H76" s="3846"/>
      <c r="I76" s="3846"/>
      <c r="J76" s="3846"/>
      <c r="K76" s="3846"/>
      <c r="L76" s="3846"/>
      <c r="M76" s="3846"/>
      <c r="N76" s="3847"/>
    </row>
    <row r="77" spans="2:14" s="671" customFormat="1" ht="15" hidden="1">
      <c r="B77" s="3880"/>
      <c r="C77" s="3881"/>
      <c r="D77" s="3881"/>
      <c r="E77" s="3881"/>
      <c r="F77" s="3881"/>
      <c r="G77" s="3881"/>
      <c r="H77" s="3881"/>
      <c r="I77" s="3881"/>
      <c r="J77" s="3881"/>
      <c r="K77" s="3881"/>
      <c r="L77" s="3881"/>
      <c r="M77" s="3881"/>
      <c r="N77" s="3882"/>
    </row>
    <row r="78" spans="2:14" s="671" customFormat="1" ht="15.75" hidden="1">
      <c r="B78" s="3883" t="s">
        <v>420</v>
      </c>
      <c r="C78" s="3884"/>
      <c r="D78" s="3884"/>
      <c r="E78" s="3884"/>
      <c r="F78" s="3884"/>
      <c r="G78" s="3884"/>
      <c r="H78" s="3884"/>
      <c r="I78" s="3884"/>
      <c r="J78" s="3884"/>
      <c r="K78" s="3884"/>
      <c r="L78" s="3884"/>
      <c r="M78" s="3884"/>
      <c r="N78" s="3885"/>
    </row>
    <row r="79" spans="2:14" s="671" customFormat="1" ht="15" hidden="1">
      <c r="B79" s="3845" t="s">
        <v>551</v>
      </c>
      <c r="C79" s="3846"/>
      <c r="D79" s="3846"/>
      <c r="E79" s="3846"/>
      <c r="F79" s="3846"/>
      <c r="G79" s="3846"/>
      <c r="H79" s="3846"/>
      <c r="I79" s="3846"/>
      <c r="J79" s="3846"/>
      <c r="K79" s="3846"/>
      <c r="L79" s="3846"/>
      <c r="M79" s="3846"/>
      <c r="N79" s="3847"/>
    </row>
    <row r="80" spans="2:14" s="671" customFormat="1" ht="15" hidden="1">
      <c r="B80" s="3845" t="s">
        <v>552</v>
      </c>
      <c r="C80" s="3846"/>
      <c r="D80" s="3846"/>
      <c r="E80" s="3846"/>
      <c r="F80" s="3846"/>
      <c r="G80" s="3846"/>
      <c r="H80" s="3846"/>
      <c r="I80" s="3846"/>
      <c r="J80" s="3846"/>
      <c r="K80" s="3846"/>
      <c r="L80" s="3846"/>
      <c r="M80" s="3846"/>
      <c r="N80" s="3847"/>
    </row>
    <row r="81" spans="2:14" s="671" customFormat="1" ht="15" hidden="1">
      <c r="B81" s="3845" t="s">
        <v>553</v>
      </c>
      <c r="C81" s="3846"/>
      <c r="D81" s="3846"/>
      <c r="E81" s="3846"/>
      <c r="F81" s="3846"/>
      <c r="G81" s="3846"/>
      <c r="H81" s="3846"/>
      <c r="I81" s="3846"/>
      <c r="J81" s="3846"/>
      <c r="K81" s="3846"/>
      <c r="L81" s="3846"/>
      <c r="M81" s="3846"/>
      <c r="N81" s="3847"/>
    </row>
    <row r="82" spans="2:14" s="671" customFormat="1" ht="15" hidden="1">
      <c r="B82" s="3845" t="s">
        <v>554</v>
      </c>
      <c r="C82" s="3846"/>
      <c r="D82" s="3846"/>
      <c r="E82" s="3846"/>
      <c r="F82" s="3846"/>
      <c r="G82" s="3846"/>
      <c r="H82" s="3846"/>
      <c r="I82" s="3846"/>
      <c r="J82" s="3846"/>
      <c r="K82" s="3846"/>
      <c r="L82" s="3846"/>
      <c r="M82" s="3846"/>
      <c r="N82" s="3847"/>
    </row>
    <row r="83" spans="2:14" s="671" customFormat="1" ht="15" hidden="1">
      <c r="B83" s="3845" t="s">
        <v>555</v>
      </c>
      <c r="C83" s="3846"/>
      <c r="D83" s="3846"/>
      <c r="E83" s="3846"/>
      <c r="F83" s="3846"/>
      <c r="G83" s="3846"/>
      <c r="H83" s="3846"/>
      <c r="I83" s="3846"/>
      <c r="J83" s="3846"/>
      <c r="K83" s="3846"/>
      <c r="L83" s="3846"/>
      <c r="M83" s="3846"/>
      <c r="N83" s="3847"/>
    </row>
    <row r="84" spans="2:14" s="671" customFormat="1" ht="15" hidden="1">
      <c r="B84" s="3845" t="s">
        <v>556</v>
      </c>
      <c r="C84" s="3846"/>
      <c r="D84" s="3846"/>
      <c r="E84" s="3846"/>
      <c r="F84" s="3846"/>
      <c r="G84" s="3846"/>
      <c r="H84" s="3846"/>
      <c r="I84" s="3846"/>
      <c r="J84" s="3846"/>
      <c r="K84" s="3846"/>
      <c r="L84" s="3846"/>
      <c r="M84" s="3846"/>
      <c r="N84" s="3847"/>
    </row>
    <row r="85" spans="2:14" s="671" customFormat="1" ht="15" hidden="1">
      <c r="B85" s="3845" t="s">
        <v>557</v>
      </c>
      <c r="C85" s="3846"/>
      <c r="D85" s="3846"/>
      <c r="E85" s="3846"/>
      <c r="F85" s="3846"/>
      <c r="G85" s="3846"/>
      <c r="H85" s="3846"/>
      <c r="I85" s="3846"/>
      <c r="J85" s="3846"/>
      <c r="K85" s="3846"/>
      <c r="L85" s="3846"/>
      <c r="M85" s="3846"/>
      <c r="N85" s="3847"/>
    </row>
    <row r="86" spans="2:14" s="671" customFormat="1" ht="15" hidden="1">
      <c r="B86" s="3845" t="s">
        <v>558</v>
      </c>
      <c r="C86" s="3846"/>
      <c r="D86" s="3846"/>
      <c r="E86" s="3846"/>
      <c r="F86" s="3846"/>
      <c r="G86" s="3846"/>
      <c r="H86" s="3846"/>
      <c r="I86" s="3846"/>
      <c r="J86" s="3846"/>
      <c r="K86" s="3846"/>
      <c r="L86" s="3846"/>
      <c r="M86" s="3846"/>
      <c r="N86" s="3847"/>
    </row>
    <row r="87" spans="2:14" s="671" customFormat="1" ht="15" hidden="1">
      <c r="B87" s="3845" t="s">
        <v>545</v>
      </c>
      <c r="C87" s="3846"/>
      <c r="D87" s="3846"/>
      <c r="E87" s="3846"/>
      <c r="F87" s="3846"/>
      <c r="G87" s="3846"/>
      <c r="H87" s="3846"/>
      <c r="I87" s="3846"/>
      <c r="J87" s="3846"/>
      <c r="K87" s="3846"/>
      <c r="L87" s="3846"/>
      <c r="M87" s="3846"/>
      <c r="N87" s="3847"/>
    </row>
    <row r="88" spans="2:14" s="671" customFormat="1" ht="15.75" hidden="1" thickBot="1">
      <c r="B88" s="3886" t="s">
        <v>559</v>
      </c>
      <c r="C88" s="3887"/>
      <c r="D88" s="3887"/>
      <c r="E88" s="3887"/>
      <c r="F88" s="3887"/>
      <c r="G88" s="3887"/>
      <c r="H88" s="3887"/>
      <c r="I88" s="3887"/>
      <c r="J88" s="3887"/>
      <c r="K88" s="3887"/>
      <c r="L88" s="3887"/>
      <c r="M88" s="3887"/>
      <c r="N88" s="3888"/>
    </row>
    <row r="89" spans="2:14" s="671" customFormat="1" ht="15" hidden="1">
      <c r="B89" s="726"/>
      <c r="C89" s="727"/>
      <c r="D89" s="727"/>
      <c r="E89" s="727"/>
      <c r="F89" s="727"/>
      <c r="G89" s="727"/>
      <c r="H89" s="727"/>
      <c r="I89" s="727"/>
      <c r="J89" s="727"/>
      <c r="K89" s="727"/>
      <c r="L89" s="727"/>
      <c r="M89" s="727"/>
      <c r="N89" s="931"/>
    </row>
    <row r="90" spans="2:14" ht="15.75" hidden="1">
      <c r="B90" s="3861" t="s">
        <v>425</v>
      </c>
      <c r="C90" s="3862"/>
      <c r="D90" s="3862"/>
      <c r="E90" s="3862"/>
      <c r="F90" s="3862"/>
      <c r="G90" s="3862"/>
      <c r="H90" s="3862"/>
      <c r="I90" s="3862"/>
      <c r="J90" s="3862"/>
      <c r="K90" s="3862"/>
      <c r="L90" s="3862"/>
      <c r="M90" s="3862"/>
      <c r="N90" s="3863"/>
    </row>
    <row r="91" spans="2:14" ht="15" hidden="1">
      <c r="B91" s="3828" t="s">
        <v>566</v>
      </c>
      <c r="C91" s="3829"/>
      <c r="D91" s="3829"/>
      <c r="E91" s="3829"/>
      <c r="F91" s="3829"/>
      <c r="G91" s="3829"/>
      <c r="H91" s="3829"/>
      <c r="I91" s="3829"/>
      <c r="J91" s="3829"/>
      <c r="K91" s="3829"/>
      <c r="L91" s="3829"/>
      <c r="M91" s="3829"/>
      <c r="N91" s="3830"/>
    </row>
    <row r="92" spans="2:14" ht="15" hidden="1">
      <c r="B92" s="3828" t="s">
        <v>567</v>
      </c>
      <c r="C92" s="3829"/>
      <c r="D92" s="3829"/>
      <c r="E92" s="3829"/>
      <c r="F92" s="3829"/>
      <c r="G92" s="3829"/>
      <c r="H92" s="3829"/>
      <c r="I92" s="3829"/>
      <c r="J92" s="3829"/>
      <c r="K92" s="3829"/>
      <c r="L92" s="3829"/>
      <c r="M92" s="3829"/>
      <c r="N92" s="3830"/>
    </row>
    <row r="93" spans="2:14" ht="15" hidden="1">
      <c r="B93" s="3828" t="s">
        <v>568</v>
      </c>
      <c r="C93" s="3829"/>
      <c r="D93" s="3829"/>
      <c r="E93" s="3829"/>
      <c r="F93" s="3829"/>
      <c r="G93" s="3829"/>
      <c r="H93" s="3829"/>
      <c r="I93" s="3829"/>
      <c r="J93" s="3829"/>
      <c r="K93" s="3829"/>
      <c r="L93" s="3829"/>
      <c r="M93" s="3829"/>
      <c r="N93" s="3830"/>
    </row>
    <row r="94" spans="2:14" s="728" customFormat="1" ht="15" hidden="1">
      <c r="B94" s="3892"/>
      <c r="C94" s="3788"/>
      <c r="D94" s="3788"/>
      <c r="E94" s="3788"/>
      <c r="F94" s="3788"/>
      <c r="G94" s="3788"/>
      <c r="H94" s="3788"/>
      <c r="I94" s="3788"/>
      <c r="J94" s="3788"/>
      <c r="K94" s="3788"/>
      <c r="L94" s="3788"/>
      <c r="M94" s="3788"/>
      <c r="N94" s="3893"/>
    </row>
    <row r="95" spans="2:14" s="671" customFormat="1" ht="15.75" hidden="1">
      <c r="B95" s="3795" t="s">
        <v>431</v>
      </c>
      <c r="C95" s="3796"/>
      <c r="D95" s="3796"/>
      <c r="E95" s="3796"/>
      <c r="F95" s="3796"/>
      <c r="G95" s="3796"/>
      <c r="H95" s="3796"/>
      <c r="I95" s="3796"/>
      <c r="J95" s="3796"/>
      <c r="K95" s="3796"/>
      <c r="L95" s="3796"/>
      <c r="M95" s="3796"/>
      <c r="N95" s="3797"/>
    </row>
    <row r="96" spans="2:14" s="671" customFormat="1" ht="18" hidden="1" customHeight="1">
      <c r="B96" s="3877"/>
      <c r="C96" s="3878"/>
      <c r="D96" s="3878"/>
      <c r="E96" s="3878"/>
      <c r="F96" s="3878"/>
      <c r="G96" s="3878"/>
      <c r="H96" s="3878"/>
      <c r="I96" s="3878"/>
      <c r="J96" s="3878"/>
      <c r="K96" s="3878"/>
      <c r="L96" s="3878"/>
      <c r="M96" s="3878"/>
      <c r="N96" s="3879"/>
    </row>
    <row r="97" spans="1:14" s="671" customFormat="1" ht="18" hidden="1" customHeight="1">
      <c r="B97" s="3877"/>
      <c r="C97" s="3878"/>
      <c r="D97" s="3878"/>
      <c r="E97" s="3878"/>
      <c r="F97" s="3878"/>
      <c r="G97" s="3878"/>
      <c r="H97" s="3878"/>
      <c r="I97" s="3878"/>
      <c r="J97" s="3878"/>
      <c r="K97" s="3878"/>
      <c r="L97" s="3878"/>
      <c r="M97" s="3878"/>
      <c r="N97" s="3879"/>
    </row>
    <row r="98" spans="1:14" s="671" customFormat="1" ht="18" hidden="1" customHeight="1">
      <c r="B98" s="3828" t="s">
        <v>569</v>
      </c>
      <c r="C98" s="3829"/>
      <c r="D98" s="3829"/>
      <c r="E98" s="3829"/>
      <c r="F98" s="3829"/>
      <c r="G98" s="3829"/>
      <c r="H98" s="3829"/>
      <c r="I98" s="3829"/>
      <c r="J98" s="3829"/>
      <c r="K98" s="3829"/>
      <c r="L98" s="3829"/>
      <c r="M98" s="3829"/>
      <c r="N98" s="3830"/>
    </row>
    <row r="99" spans="1:14" s="671" customFormat="1" ht="18" hidden="1" customHeight="1">
      <c r="B99" s="3828" t="s">
        <v>570</v>
      </c>
      <c r="C99" s="3829"/>
      <c r="D99" s="3829"/>
      <c r="E99" s="3829"/>
      <c r="F99" s="3829"/>
      <c r="G99" s="3829"/>
      <c r="H99" s="3829"/>
      <c r="I99" s="3829"/>
      <c r="J99" s="3829"/>
      <c r="K99" s="3829"/>
      <c r="L99" s="3829"/>
      <c r="M99" s="3829"/>
      <c r="N99" s="3830"/>
    </row>
    <row r="100" spans="1:14" s="671" customFormat="1" ht="18" hidden="1" customHeight="1">
      <c r="B100" s="3828" t="s">
        <v>571</v>
      </c>
      <c r="C100" s="3829"/>
      <c r="D100" s="3829"/>
      <c r="E100" s="3829"/>
      <c r="F100" s="3829"/>
      <c r="G100" s="3829"/>
      <c r="H100" s="3829"/>
      <c r="I100" s="3829"/>
      <c r="J100" s="3829"/>
      <c r="K100" s="3829"/>
      <c r="L100" s="3829"/>
      <c r="M100" s="3829"/>
      <c r="N100" s="3830"/>
    </row>
    <row r="101" spans="1:14" s="671" customFormat="1" ht="18" hidden="1" customHeight="1">
      <c r="B101" s="3828" t="s">
        <v>572</v>
      </c>
      <c r="C101" s="3829"/>
      <c r="D101" s="3829"/>
      <c r="E101" s="3829"/>
      <c r="F101" s="3829"/>
      <c r="G101" s="3829"/>
      <c r="H101" s="3829"/>
      <c r="I101" s="3829"/>
      <c r="J101" s="3829"/>
      <c r="K101" s="3829"/>
      <c r="L101" s="3829"/>
      <c r="M101" s="3829"/>
      <c r="N101" s="3830"/>
    </row>
    <row r="102" spans="1:14" s="671" customFormat="1" ht="15" hidden="1">
      <c r="B102" s="3874"/>
      <c r="C102" s="3875"/>
      <c r="D102" s="3875"/>
      <c r="E102" s="3875"/>
      <c r="F102" s="3875"/>
      <c r="G102" s="3875"/>
      <c r="H102" s="3875"/>
      <c r="I102" s="3875"/>
      <c r="J102" s="3875"/>
      <c r="K102" s="3875"/>
      <c r="L102" s="3875"/>
      <c r="M102" s="3875"/>
      <c r="N102" s="3876"/>
    </row>
    <row r="103" spans="1:14" s="671" customFormat="1" ht="15.75" hidden="1">
      <c r="B103" s="3834" t="s">
        <v>468</v>
      </c>
      <c r="C103" s="3835"/>
      <c r="D103" s="3835"/>
      <c r="E103" s="3835"/>
      <c r="F103" s="3835"/>
      <c r="G103" s="3835"/>
      <c r="H103" s="3835"/>
      <c r="I103" s="3835"/>
      <c r="J103" s="3835"/>
      <c r="K103" s="3835"/>
      <c r="L103" s="3835"/>
      <c r="M103" s="3835"/>
      <c r="N103" s="3836"/>
    </row>
    <row r="104" spans="1:14" s="730" customFormat="1" ht="15" hidden="1" customHeight="1">
      <c r="A104" s="731"/>
      <c r="B104" s="3828" t="s">
        <v>586</v>
      </c>
      <c r="C104" s="3829"/>
      <c r="D104" s="3829"/>
      <c r="E104" s="3829"/>
      <c r="F104" s="3829"/>
      <c r="G104" s="3829"/>
      <c r="H104" s="3829"/>
      <c r="I104" s="3829"/>
      <c r="J104" s="3829"/>
      <c r="K104" s="3829"/>
      <c r="L104" s="3829"/>
      <c r="M104" s="3829"/>
      <c r="N104" s="3830"/>
    </row>
    <row r="105" spans="1:14" s="730" customFormat="1" ht="15.75" hidden="1" thickBot="1">
      <c r="A105" s="759"/>
      <c r="B105" s="3718" t="s">
        <v>573</v>
      </c>
      <c r="C105" s="3719"/>
      <c r="D105" s="3719"/>
      <c r="E105" s="3719"/>
      <c r="F105" s="3719"/>
      <c r="G105" s="3719"/>
      <c r="H105" s="3719"/>
      <c r="I105" s="3719"/>
      <c r="J105" s="3719"/>
      <c r="K105" s="3719"/>
      <c r="L105" s="3719"/>
      <c r="M105" s="3719"/>
      <c r="N105" s="3720"/>
    </row>
    <row r="106" spans="1:14" s="730" customFormat="1" ht="15" hidden="1">
      <c r="B106" s="932"/>
      <c r="C106" s="758"/>
      <c r="D106" s="758"/>
      <c r="E106" s="758"/>
      <c r="F106" s="758"/>
      <c r="G106" s="758"/>
      <c r="H106" s="758"/>
      <c r="I106" s="758"/>
      <c r="J106" s="758"/>
      <c r="K106" s="758"/>
      <c r="L106" s="758"/>
      <c r="M106" s="758"/>
      <c r="N106" s="933"/>
    </row>
    <row r="107" spans="1:14" s="730" customFormat="1" ht="15.75" hidden="1">
      <c r="B107" s="3894" t="s">
        <v>469</v>
      </c>
      <c r="C107" s="3895"/>
      <c r="D107" s="3895"/>
      <c r="E107" s="3895"/>
      <c r="F107" s="3895"/>
      <c r="G107" s="3895"/>
      <c r="H107" s="3895"/>
      <c r="I107" s="3895"/>
      <c r="J107" s="3895"/>
      <c r="K107" s="3895"/>
      <c r="L107" s="3895"/>
      <c r="M107" s="3895"/>
      <c r="N107" s="3896"/>
    </row>
    <row r="108" spans="1:14" s="671" customFormat="1" ht="15" hidden="1">
      <c r="B108" s="3828"/>
      <c r="C108" s="3829"/>
      <c r="D108" s="3829"/>
      <c r="E108" s="3829"/>
      <c r="F108" s="3829"/>
      <c r="G108" s="3829"/>
      <c r="H108" s="3829"/>
      <c r="I108" s="3829"/>
      <c r="J108" s="3829"/>
      <c r="K108" s="3829"/>
      <c r="L108" s="3829"/>
      <c r="M108" s="3829"/>
      <c r="N108" s="3830"/>
    </row>
    <row r="109" spans="1:14" s="671" customFormat="1" ht="15" hidden="1">
      <c r="B109" s="3828"/>
      <c r="C109" s="3829"/>
      <c r="D109" s="3829"/>
      <c r="E109" s="3829"/>
      <c r="F109" s="3829"/>
      <c r="G109" s="3829"/>
      <c r="H109" s="3829"/>
      <c r="I109" s="3829"/>
      <c r="J109" s="3829"/>
      <c r="K109" s="3829"/>
      <c r="L109" s="3829"/>
      <c r="M109" s="3829"/>
      <c r="N109" s="3830"/>
    </row>
    <row r="110" spans="1:14" s="671" customFormat="1" ht="14.25" hidden="1" customHeight="1">
      <c r="B110" s="3828"/>
      <c r="C110" s="3829"/>
      <c r="D110" s="3829"/>
      <c r="E110" s="3829"/>
      <c r="F110" s="3829"/>
      <c r="G110" s="3829"/>
      <c r="H110" s="3829"/>
      <c r="I110" s="3829"/>
      <c r="J110" s="3829"/>
      <c r="K110" s="3829"/>
      <c r="L110" s="3829"/>
      <c r="M110" s="3829"/>
      <c r="N110" s="3830"/>
    </row>
    <row r="111" spans="1:14" s="671" customFormat="1" ht="15" hidden="1">
      <c r="A111" s="760"/>
      <c r="B111" s="3897" t="s">
        <v>470</v>
      </c>
      <c r="C111" s="3898"/>
      <c r="D111" s="3898"/>
      <c r="E111" s="3898"/>
      <c r="F111" s="3898"/>
      <c r="G111" s="3898"/>
      <c r="H111" s="3898"/>
      <c r="I111" s="3898"/>
      <c r="J111" s="3898"/>
      <c r="K111" s="3898"/>
      <c r="L111" s="3898"/>
      <c r="M111" s="3898"/>
      <c r="N111" s="3899"/>
    </row>
    <row r="112" spans="1:14" s="671" customFormat="1" ht="15" hidden="1">
      <c r="B112" s="3845" t="s">
        <v>602</v>
      </c>
      <c r="C112" s="3846"/>
      <c r="D112" s="3846"/>
      <c r="E112" s="3846"/>
      <c r="F112" s="3846"/>
      <c r="G112" s="3846"/>
      <c r="H112" s="3846"/>
      <c r="I112" s="3846"/>
      <c r="J112" s="3846"/>
      <c r="K112" s="3846"/>
      <c r="L112" s="3846"/>
      <c r="M112" s="3846"/>
      <c r="N112" s="3847"/>
    </row>
    <row r="113" spans="2:14" s="671" customFormat="1" ht="15" hidden="1">
      <c r="B113" s="3845" t="s">
        <v>603</v>
      </c>
      <c r="C113" s="3846"/>
      <c r="D113" s="3846"/>
      <c r="E113" s="3846"/>
      <c r="F113" s="3846"/>
      <c r="G113" s="3846"/>
      <c r="H113" s="3846"/>
      <c r="I113" s="3846"/>
      <c r="J113" s="3846"/>
      <c r="K113" s="3846"/>
      <c r="L113" s="3846"/>
      <c r="M113" s="3846"/>
      <c r="N113" s="3847"/>
    </row>
    <row r="114" spans="2:14" s="671" customFormat="1" ht="15" hidden="1">
      <c r="B114" s="3845" t="s">
        <v>604</v>
      </c>
      <c r="C114" s="3846"/>
      <c r="D114" s="3846"/>
      <c r="E114" s="3846"/>
      <c r="F114" s="3846"/>
      <c r="G114" s="3846"/>
      <c r="H114" s="3846"/>
      <c r="I114" s="3846"/>
      <c r="J114" s="3846"/>
      <c r="K114" s="3846"/>
      <c r="L114" s="3846"/>
      <c r="M114" s="3846"/>
      <c r="N114" s="3847"/>
    </row>
    <row r="115" spans="2:14" s="671" customFormat="1" ht="15" hidden="1">
      <c r="B115" s="903"/>
      <c r="C115" s="904"/>
      <c r="D115" s="904"/>
      <c r="E115" s="904"/>
      <c r="F115" s="904"/>
      <c r="G115" s="904"/>
      <c r="H115" s="904"/>
      <c r="I115" s="904"/>
      <c r="J115" s="904"/>
      <c r="K115" s="904"/>
      <c r="L115" s="904"/>
      <c r="M115" s="904"/>
      <c r="N115" s="905"/>
    </row>
    <row r="116" spans="2:14" s="671" customFormat="1" ht="15" hidden="1">
      <c r="B116" s="3900" t="s">
        <v>471</v>
      </c>
      <c r="C116" s="3901"/>
      <c r="D116" s="3901"/>
      <c r="E116" s="3901"/>
      <c r="F116" s="3901"/>
      <c r="G116" s="3901"/>
      <c r="H116" s="3901"/>
      <c r="I116" s="3901"/>
      <c r="J116" s="3901"/>
      <c r="K116" s="3901"/>
      <c r="L116" s="3901"/>
      <c r="M116" s="3901"/>
      <c r="N116" s="3902"/>
    </row>
    <row r="117" spans="2:14" s="671" customFormat="1" ht="15" hidden="1">
      <c r="B117" s="3845" t="s">
        <v>605</v>
      </c>
      <c r="C117" s="3846"/>
      <c r="D117" s="3846"/>
      <c r="E117" s="3846"/>
      <c r="F117" s="3846"/>
      <c r="G117" s="3846"/>
      <c r="H117" s="3846"/>
      <c r="I117" s="3846"/>
      <c r="J117" s="3846"/>
      <c r="K117" s="3846"/>
      <c r="L117" s="3846"/>
      <c r="M117" s="3846"/>
      <c r="N117" s="3847"/>
    </row>
    <row r="118" spans="2:14" s="671" customFormat="1" ht="15" hidden="1">
      <c r="B118" s="3845" t="s">
        <v>606</v>
      </c>
      <c r="C118" s="3846"/>
      <c r="D118" s="3846"/>
      <c r="E118" s="3846"/>
      <c r="F118" s="3846"/>
      <c r="G118" s="3846"/>
      <c r="H118" s="3846"/>
      <c r="I118" s="3846"/>
      <c r="J118" s="3846"/>
      <c r="K118" s="3846"/>
      <c r="L118" s="3846"/>
      <c r="M118" s="3846"/>
      <c r="N118" s="3847"/>
    </row>
    <row r="119" spans="2:14" s="671" customFormat="1" ht="15" hidden="1">
      <c r="B119" s="3845" t="s">
        <v>607</v>
      </c>
      <c r="C119" s="3846"/>
      <c r="D119" s="3846"/>
      <c r="E119" s="3846"/>
      <c r="F119" s="3846"/>
      <c r="G119" s="3846"/>
      <c r="H119" s="3846"/>
      <c r="I119" s="3846"/>
      <c r="J119" s="3846"/>
      <c r="K119" s="3846"/>
      <c r="L119" s="3846"/>
      <c r="M119" s="3846"/>
      <c r="N119" s="3847"/>
    </row>
    <row r="120" spans="2:14" s="671" customFormat="1" ht="32.25" hidden="1" customHeight="1">
      <c r="B120" s="3766" t="s">
        <v>523</v>
      </c>
      <c r="C120" s="3767"/>
      <c r="D120" s="3767"/>
      <c r="E120" s="3767"/>
      <c r="F120" s="3767"/>
      <c r="G120" s="3767"/>
      <c r="H120" s="3767"/>
      <c r="I120" s="3767"/>
      <c r="J120" s="3767"/>
      <c r="K120" s="3767"/>
      <c r="L120" s="3767"/>
      <c r="M120" s="3767"/>
      <c r="N120" s="3768"/>
    </row>
    <row r="121" spans="2:14" s="671" customFormat="1" ht="15.75" hidden="1">
      <c r="B121" s="3861" t="s">
        <v>405</v>
      </c>
      <c r="C121" s="3862"/>
      <c r="D121" s="3862"/>
      <c r="E121" s="3862"/>
      <c r="F121" s="3862"/>
      <c r="G121" s="3862"/>
      <c r="H121" s="3862"/>
      <c r="I121" s="3862"/>
      <c r="J121" s="3862"/>
      <c r="K121" s="3862"/>
      <c r="L121" s="3862"/>
      <c r="M121" s="3862"/>
      <c r="N121" s="3863"/>
    </row>
    <row r="122" spans="2:14" s="671" customFormat="1" ht="15" hidden="1">
      <c r="B122" s="3828" t="s">
        <v>524</v>
      </c>
      <c r="C122" s="3829"/>
      <c r="D122" s="3829"/>
      <c r="E122" s="3829"/>
      <c r="F122" s="3829"/>
      <c r="G122" s="3829"/>
      <c r="H122" s="3829"/>
      <c r="I122" s="3829"/>
      <c r="J122" s="3829"/>
      <c r="K122" s="3829"/>
      <c r="L122" s="3829"/>
      <c r="M122" s="3829"/>
      <c r="N122" s="3830"/>
    </row>
    <row r="123" spans="2:14" s="671" customFormat="1" ht="15" hidden="1">
      <c r="B123" s="3828" t="s">
        <v>525</v>
      </c>
      <c r="C123" s="3829"/>
      <c r="D123" s="3829"/>
      <c r="E123" s="3829"/>
      <c r="F123" s="3829"/>
      <c r="G123" s="3829"/>
      <c r="H123" s="3829"/>
      <c r="I123" s="3829"/>
      <c r="J123" s="3829"/>
      <c r="K123" s="3829"/>
      <c r="L123" s="3829"/>
      <c r="M123" s="3829"/>
      <c r="N123" s="3830"/>
    </row>
    <row r="124" spans="2:14" s="671" customFormat="1" ht="18" hidden="1" customHeight="1">
      <c r="B124" s="3874"/>
      <c r="C124" s="3875"/>
      <c r="D124" s="3875"/>
      <c r="E124" s="3875"/>
      <c r="F124" s="3875"/>
      <c r="G124" s="3875"/>
      <c r="H124" s="3875"/>
      <c r="I124" s="3875"/>
      <c r="J124" s="3875"/>
      <c r="K124" s="3875"/>
      <c r="L124" s="3875"/>
      <c r="M124" s="3875"/>
      <c r="N124" s="3876"/>
    </row>
    <row r="125" spans="2:14" s="671" customFormat="1" ht="18" hidden="1" customHeight="1">
      <c r="B125" s="3795" t="s">
        <v>406</v>
      </c>
      <c r="C125" s="3796"/>
      <c r="D125" s="3796"/>
      <c r="E125" s="3796"/>
      <c r="F125" s="3796"/>
      <c r="G125" s="3796"/>
      <c r="H125" s="3796"/>
      <c r="I125" s="3796"/>
      <c r="J125" s="3796"/>
      <c r="K125" s="3796"/>
      <c r="L125" s="3796"/>
      <c r="M125" s="3796"/>
      <c r="N125" s="3797"/>
    </row>
    <row r="126" spans="2:14" s="671" customFormat="1" ht="15" hidden="1">
      <c r="B126" s="3828" t="s">
        <v>526</v>
      </c>
      <c r="C126" s="3829"/>
      <c r="D126" s="3829"/>
      <c r="E126" s="3829"/>
      <c r="F126" s="3829"/>
      <c r="G126" s="3829"/>
      <c r="H126" s="3829"/>
      <c r="I126" s="3829"/>
      <c r="J126" s="3829"/>
      <c r="K126" s="3829"/>
      <c r="L126" s="3829"/>
      <c r="M126" s="3829"/>
      <c r="N126" s="3830"/>
    </row>
    <row r="127" spans="2:14" s="671" customFormat="1" ht="15" hidden="1">
      <c r="B127" s="3828" t="s">
        <v>527</v>
      </c>
      <c r="C127" s="3829"/>
      <c r="D127" s="3829"/>
      <c r="E127" s="3829"/>
      <c r="F127" s="3829"/>
      <c r="G127" s="3829"/>
      <c r="H127" s="3829"/>
      <c r="I127" s="3829"/>
      <c r="J127" s="3829"/>
      <c r="K127" s="3829"/>
      <c r="L127" s="3829"/>
      <c r="M127" s="3829"/>
      <c r="N127" s="3830"/>
    </row>
    <row r="128" spans="2:14" s="671" customFormat="1" ht="21" hidden="1" customHeight="1">
      <c r="B128" s="3877" t="s">
        <v>528</v>
      </c>
      <c r="C128" s="3878"/>
      <c r="D128" s="3878"/>
      <c r="E128" s="3878"/>
      <c r="F128" s="3878"/>
      <c r="G128" s="3878"/>
      <c r="H128" s="3878"/>
      <c r="I128" s="3878"/>
      <c r="J128" s="3878"/>
      <c r="K128" s="3878"/>
      <c r="L128" s="3878"/>
      <c r="M128" s="3878"/>
      <c r="N128" s="3879"/>
    </row>
    <row r="129" spans="2:14" s="671" customFormat="1" ht="15.75" hidden="1" thickBot="1">
      <c r="B129" s="3889"/>
      <c r="C129" s="3890"/>
      <c r="D129" s="3890"/>
      <c r="E129" s="3890"/>
      <c r="F129" s="3890"/>
      <c r="G129" s="3890"/>
      <c r="H129" s="3890"/>
      <c r="I129" s="3890"/>
      <c r="J129" s="3890"/>
      <c r="K129" s="3890"/>
      <c r="L129" s="3890"/>
      <c r="M129" s="3890"/>
      <c r="N129" s="3891"/>
    </row>
    <row r="130" spans="2:14" s="671" customFormat="1" ht="15" hidden="1">
      <c r="B130" s="3874"/>
      <c r="C130" s="3875"/>
      <c r="D130" s="3875"/>
      <c r="E130" s="3875"/>
      <c r="F130" s="3875"/>
      <c r="G130" s="3875"/>
      <c r="H130" s="3875"/>
      <c r="I130" s="3875"/>
      <c r="J130" s="3875"/>
      <c r="K130" s="3875"/>
      <c r="L130" s="3875"/>
      <c r="M130" s="3875"/>
      <c r="N130" s="3876"/>
    </row>
    <row r="131" spans="2:14" s="671" customFormat="1" ht="15.75" hidden="1">
      <c r="B131" s="3834" t="s">
        <v>407</v>
      </c>
      <c r="C131" s="3835"/>
      <c r="D131" s="3835"/>
      <c r="E131" s="3835"/>
      <c r="F131" s="3835"/>
      <c r="G131" s="3835"/>
      <c r="H131" s="3835"/>
      <c r="I131" s="3835"/>
      <c r="J131" s="3835"/>
      <c r="K131" s="3835"/>
      <c r="L131" s="3835"/>
      <c r="M131" s="3835"/>
      <c r="N131" s="3836"/>
    </row>
    <row r="132" spans="2:14" s="671" customFormat="1" ht="18.75" hidden="1" customHeight="1">
      <c r="B132" s="3828" t="s">
        <v>534</v>
      </c>
      <c r="C132" s="3829"/>
      <c r="D132" s="3829"/>
      <c r="E132" s="3829"/>
      <c r="F132" s="3829"/>
      <c r="G132" s="3829"/>
      <c r="H132" s="3829"/>
      <c r="I132" s="3829"/>
      <c r="J132" s="3829"/>
      <c r="K132" s="3829"/>
      <c r="L132" s="3829"/>
      <c r="M132" s="3829"/>
      <c r="N132" s="3830"/>
    </row>
    <row r="133" spans="2:14" s="671" customFormat="1" ht="15.75" hidden="1" thickBot="1">
      <c r="B133" s="3886" t="s">
        <v>533</v>
      </c>
      <c r="C133" s="3887"/>
      <c r="D133" s="3887"/>
      <c r="E133" s="3887"/>
      <c r="F133" s="3887"/>
      <c r="G133" s="3887"/>
      <c r="H133" s="3887"/>
      <c r="I133" s="3887"/>
      <c r="J133" s="3887"/>
      <c r="K133" s="3887"/>
      <c r="L133" s="3887"/>
      <c r="M133" s="3887"/>
      <c r="N133" s="3888"/>
    </row>
    <row r="134" spans="2:14" s="671" customFormat="1" ht="15" hidden="1">
      <c r="B134" s="928"/>
      <c r="C134" s="929"/>
      <c r="D134" s="929"/>
      <c r="E134" s="929"/>
      <c r="F134" s="929"/>
      <c r="G134" s="929"/>
      <c r="H134" s="929"/>
      <c r="I134" s="929"/>
      <c r="J134" s="929"/>
      <c r="K134" s="929"/>
      <c r="L134" s="929"/>
      <c r="M134" s="929"/>
      <c r="N134" s="930"/>
    </row>
    <row r="135" spans="2:14" s="671" customFormat="1" ht="15.75" hidden="1">
      <c r="B135" s="3825" t="s">
        <v>408</v>
      </c>
      <c r="C135" s="3826"/>
      <c r="D135" s="3826"/>
      <c r="E135" s="3826"/>
      <c r="F135" s="3826"/>
      <c r="G135" s="3826"/>
      <c r="H135" s="3826"/>
      <c r="I135" s="3826"/>
      <c r="J135" s="3826"/>
      <c r="K135" s="3826"/>
      <c r="L135" s="3826"/>
      <c r="M135" s="3826"/>
      <c r="N135" s="3827"/>
    </row>
    <row r="136" spans="2:14" s="671" customFormat="1" ht="15" hidden="1">
      <c r="B136" s="3828" t="s">
        <v>546</v>
      </c>
      <c r="C136" s="3829"/>
      <c r="D136" s="3829"/>
      <c r="E136" s="3829"/>
      <c r="F136" s="3829"/>
      <c r="G136" s="3829"/>
      <c r="H136" s="3829"/>
      <c r="I136" s="3829"/>
      <c r="J136" s="3829"/>
      <c r="K136" s="3829"/>
      <c r="L136" s="3829"/>
      <c r="M136" s="3829"/>
      <c r="N136" s="3830"/>
    </row>
    <row r="137" spans="2:14" s="671" customFormat="1" ht="15" hidden="1">
      <c r="B137" s="3828" t="s">
        <v>547</v>
      </c>
      <c r="C137" s="3829"/>
      <c r="D137" s="3829"/>
      <c r="E137" s="3829"/>
      <c r="F137" s="3829"/>
      <c r="G137" s="3829"/>
      <c r="H137" s="3829"/>
      <c r="I137" s="3829"/>
      <c r="J137" s="3829"/>
      <c r="K137" s="3829"/>
      <c r="L137" s="3829"/>
      <c r="M137" s="3829"/>
      <c r="N137" s="3830"/>
    </row>
    <row r="138" spans="2:14" s="671" customFormat="1" ht="15" hidden="1">
      <c r="B138" s="928"/>
      <c r="C138" s="929"/>
      <c r="D138" s="929"/>
      <c r="E138" s="929"/>
      <c r="F138" s="929"/>
      <c r="G138" s="929"/>
      <c r="H138" s="929"/>
      <c r="I138" s="929"/>
      <c r="J138" s="929"/>
      <c r="K138" s="929"/>
      <c r="L138" s="929"/>
      <c r="M138" s="929"/>
      <c r="N138" s="930"/>
    </row>
    <row r="139" spans="2:14" s="671" customFormat="1" ht="15.75" hidden="1">
      <c r="B139" s="3831" t="s">
        <v>409</v>
      </c>
      <c r="C139" s="3832"/>
      <c r="D139" s="3832"/>
      <c r="E139" s="3832"/>
      <c r="F139" s="3832"/>
      <c r="G139" s="3832"/>
      <c r="H139" s="3832"/>
      <c r="I139" s="3832"/>
      <c r="J139" s="3832"/>
      <c r="K139" s="3832"/>
      <c r="L139" s="3832"/>
      <c r="M139" s="3832"/>
      <c r="N139" s="3833"/>
    </row>
    <row r="140" spans="2:14" s="671" customFormat="1" ht="15" hidden="1">
      <c r="B140" s="3845" t="s">
        <v>548</v>
      </c>
      <c r="C140" s="3846"/>
      <c r="D140" s="3846"/>
      <c r="E140" s="3846"/>
      <c r="F140" s="3846"/>
      <c r="G140" s="3846"/>
      <c r="H140" s="3846"/>
      <c r="I140" s="3846"/>
      <c r="J140" s="3846"/>
      <c r="K140" s="3846"/>
      <c r="L140" s="3846"/>
      <c r="M140" s="3846"/>
      <c r="N140" s="3847"/>
    </row>
    <row r="141" spans="2:14" s="671" customFormat="1" ht="15" hidden="1">
      <c r="B141" s="3845" t="s">
        <v>549</v>
      </c>
      <c r="C141" s="3846"/>
      <c r="D141" s="3846"/>
      <c r="E141" s="3846"/>
      <c r="F141" s="3846"/>
      <c r="G141" s="3846"/>
      <c r="H141" s="3846"/>
      <c r="I141" s="3846"/>
      <c r="J141" s="3846"/>
      <c r="K141" s="3846"/>
      <c r="L141" s="3846"/>
      <c r="M141" s="3846"/>
      <c r="N141" s="3847"/>
    </row>
    <row r="142" spans="2:14" s="671" customFormat="1" ht="15" hidden="1">
      <c r="B142" s="3845" t="s">
        <v>550</v>
      </c>
      <c r="C142" s="3846"/>
      <c r="D142" s="3846"/>
      <c r="E142" s="3846"/>
      <c r="F142" s="3846"/>
      <c r="G142" s="3846"/>
      <c r="H142" s="3846"/>
      <c r="I142" s="3846"/>
      <c r="J142" s="3846"/>
      <c r="K142" s="3846"/>
      <c r="L142" s="3846"/>
      <c r="M142" s="3846"/>
      <c r="N142" s="3847"/>
    </row>
    <row r="143" spans="2:14" hidden="1">
      <c r="B143" s="762"/>
      <c r="C143" s="728"/>
      <c r="D143" s="728"/>
      <c r="E143" s="728"/>
      <c r="F143" s="728"/>
      <c r="G143" s="728"/>
      <c r="H143" s="728"/>
      <c r="I143" s="728"/>
      <c r="J143" s="728"/>
      <c r="K143" s="728"/>
      <c r="L143" s="728"/>
      <c r="M143" s="728"/>
      <c r="N143" s="922"/>
    </row>
    <row r="144" spans="2:14" ht="15.75" hidden="1">
      <c r="B144" s="3909" t="s">
        <v>420</v>
      </c>
      <c r="C144" s="3910"/>
      <c r="D144" s="3910"/>
      <c r="E144" s="3910"/>
      <c r="F144" s="3910"/>
      <c r="G144" s="3910"/>
      <c r="H144" s="3910"/>
      <c r="I144" s="3910"/>
      <c r="J144" s="3910"/>
      <c r="K144" s="3910"/>
      <c r="L144" s="3910"/>
      <c r="M144" s="3910"/>
      <c r="N144" s="3911"/>
    </row>
    <row r="145" spans="2:14" ht="15" hidden="1">
      <c r="B145" s="3845" t="s">
        <v>560</v>
      </c>
      <c r="C145" s="3846"/>
      <c r="D145" s="3846"/>
      <c r="E145" s="3846"/>
      <c r="F145" s="3846"/>
      <c r="G145" s="3846"/>
      <c r="H145" s="3846"/>
      <c r="I145" s="3846"/>
      <c r="J145" s="3846"/>
      <c r="K145" s="3846"/>
      <c r="L145" s="3846"/>
      <c r="M145" s="3846"/>
      <c r="N145" s="3847"/>
    </row>
    <row r="146" spans="2:14" ht="15" hidden="1">
      <c r="B146" s="3845" t="s">
        <v>561</v>
      </c>
      <c r="C146" s="3846"/>
      <c r="D146" s="3846"/>
      <c r="E146" s="3846"/>
      <c r="F146" s="3846"/>
      <c r="G146" s="3846"/>
      <c r="H146" s="3846"/>
      <c r="I146" s="3846"/>
      <c r="J146" s="3846"/>
      <c r="K146" s="3846"/>
      <c r="L146" s="3846"/>
      <c r="M146" s="3846"/>
      <c r="N146" s="3847"/>
    </row>
    <row r="147" spans="2:14" hidden="1">
      <c r="B147" s="762"/>
      <c r="C147" s="728"/>
      <c r="D147" s="728"/>
      <c r="E147" s="728"/>
      <c r="F147" s="728"/>
      <c r="G147" s="728"/>
      <c r="H147" s="728"/>
      <c r="I147" s="728"/>
      <c r="J147" s="728"/>
      <c r="K147" s="728"/>
      <c r="L147" s="728"/>
      <c r="M147" s="728"/>
      <c r="N147" s="922"/>
    </row>
    <row r="148" spans="2:14" ht="15.75" hidden="1">
      <c r="B148" s="3861" t="s">
        <v>425</v>
      </c>
      <c r="C148" s="3862"/>
      <c r="D148" s="3862"/>
      <c r="E148" s="3862"/>
      <c r="F148" s="3862"/>
      <c r="G148" s="3862"/>
      <c r="H148" s="3862"/>
      <c r="I148" s="3862"/>
      <c r="J148" s="3862"/>
      <c r="K148" s="3862"/>
      <c r="L148" s="3862"/>
      <c r="M148" s="3862"/>
      <c r="N148" s="3863"/>
    </row>
    <row r="149" spans="2:14" ht="15" hidden="1">
      <c r="B149" s="3828"/>
      <c r="C149" s="3829"/>
      <c r="D149" s="3829"/>
      <c r="E149" s="3829"/>
      <c r="F149" s="3829"/>
      <c r="G149" s="3829"/>
      <c r="H149" s="3829"/>
      <c r="I149" s="3829"/>
      <c r="J149" s="3829"/>
      <c r="K149" s="3829"/>
      <c r="L149" s="3829"/>
      <c r="M149" s="3829"/>
      <c r="N149" s="3830"/>
    </row>
    <row r="150" spans="2:14" hidden="1">
      <c r="B150" s="762"/>
      <c r="C150" s="728"/>
      <c r="D150" s="728"/>
      <c r="E150" s="728"/>
      <c r="F150" s="728"/>
      <c r="G150" s="728"/>
      <c r="H150" s="728"/>
      <c r="I150" s="728"/>
      <c r="J150" s="728"/>
      <c r="K150" s="728"/>
      <c r="L150" s="728"/>
      <c r="M150" s="728"/>
      <c r="N150" s="922"/>
    </row>
    <row r="151" spans="2:14" ht="15.75" hidden="1">
      <c r="B151" s="3795" t="s">
        <v>431</v>
      </c>
      <c r="C151" s="3796"/>
      <c r="D151" s="3796"/>
      <c r="E151" s="3796"/>
      <c r="F151" s="3796"/>
      <c r="G151" s="3796"/>
      <c r="H151" s="3796"/>
      <c r="I151" s="3796"/>
      <c r="J151" s="3796"/>
      <c r="K151" s="3796"/>
      <c r="L151" s="3796"/>
      <c r="M151" s="3796"/>
      <c r="N151" s="3797"/>
    </row>
    <row r="152" spans="2:14" ht="15.75" hidden="1" customHeight="1">
      <c r="B152" s="3785" t="s">
        <v>574</v>
      </c>
      <c r="C152" s="3786"/>
      <c r="D152" s="3786"/>
      <c r="E152" s="3786"/>
      <c r="F152" s="3786"/>
      <c r="G152" s="3786"/>
      <c r="H152" s="3786"/>
      <c r="I152" s="3786"/>
      <c r="J152" s="3786"/>
      <c r="K152" s="3786"/>
      <c r="L152" s="3786"/>
      <c r="M152" s="3786"/>
      <c r="N152" s="3787"/>
    </row>
    <row r="153" spans="2:14" ht="15.75" hidden="1" customHeight="1">
      <c r="B153" s="3785" t="s">
        <v>575</v>
      </c>
      <c r="C153" s="3786"/>
      <c r="D153" s="3786"/>
      <c r="E153" s="3786"/>
      <c r="F153" s="3786"/>
      <c r="G153" s="3786"/>
      <c r="H153" s="3786"/>
      <c r="I153" s="3786"/>
      <c r="J153" s="3786"/>
      <c r="K153" s="3786"/>
      <c r="L153" s="3786"/>
      <c r="M153" s="3786"/>
      <c r="N153" s="3787"/>
    </row>
    <row r="154" spans="2:14" ht="15.75" hidden="1" customHeight="1">
      <c r="B154" s="3785" t="s">
        <v>576</v>
      </c>
      <c r="C154" s="3786"/>
      <c r="D154" s="3786"/>
      <c r="E154" s="3786"/>
      <c r="F154" s="3786"/>
      <c r="G154" s="3786"/>
      <c r="H154" s="3786"/>
      <c r="I154" s="3786"/>
      <c r="J154" s="3786"/>
      <c r="K154" s="3786"/>
      <c r="L154" s="3786"/>
      <c r="M154" s="3786"/>
      <c r="N154" s="3787"/>
    </row>
    <row r="155" spans="2:14" ht="15.75" hidden="1" customHeight="1">
      <c r="B155" s="3785" t="s">
        <v>577</v>
      </c>
      <c r="C155" s="3786"/>
      <c r="D155" s="3786"/>
      <c r="E155" s="3786"/>
      <c r="F155" s="3786"/>
      <c r="G155" s="3786"/>
      <c r="H155" s="3786"/>
      <c r="I155" s="3786"/>
      <c r="J155" s="3786"/>
      <c r="K155" s="3786"/>
      <c r="L155" s="3786"/>
      <c r="M155" s="3786"/>
      <c r="N155" s="3787"/>
    </row>
    <row r="156" spans="2:14" ht="15.75" hidden="1" customHeight="1">
      <c r="B156" s="3828" t="s">
        <v>578</v>
      </c>
      <c r="C156" s="3829"/>
      <c r="D156" s="3829"/>
      <c r="E156" s="3829"/>
      <c r="F156" s="3829"/>
      <c r="G156" s="3829"/>
      <c r="H156" s="3829"/>
      <c r="I156" s="3829"/>
      <c r="J156" s="3829"/>
      <c r="K156" s="3829"/>
      <c r="L156" s="3829"/>
      <c r="M156" s="3829"/>
      <c r="N156" s="3830"/>
    </row>
    <row r="157" spans="2:14" ht="15" hidden="1">
      <c r="B157" s="3828" t="s">
        <v>579</v>
      </c>
      <c r="C157" s="3829"/>
      <c r="D157" s="3829"/>
      <c r="E157" s="3829"/>
      <c r="F157" s="3829"/>
      <c r="G157" s="3829"/>
      <c r="H157" s="3829"/>
      <c r="I157" s="3829"/>
      <c r="J157" s="3829"/>
      <c r="K157" s="3829"/>
      <c r="L157" s="3829"/>
      <c r="M157" s="3829"/>
      <c r="N157" s="3830"/>
    </row>
    <row r="158" spans="2:14" ht="15" hidden="1">
      <c r="B158" s="3828" t="s">
        <v>580</v>
      </c>
      <c r="C158" s="3829"/>
      <c r="D158" s="3829"/>
      <c r="E158" s="3829"/>
      <c r="F158" s="3829"/>
      <c r="G158" s="3829"/>
      <c r="H158" s="3829"/>
      <c r="I158" s="3829"/>
      <c r="J158" s="3829"/>
      <c r="K158" s="3829"/>
      <c r="L158" s="3829"/>
      <c r="M158" s="3829"/>
      <c r="N158" s="3830"/>
    </row>
    <row r="159" spans="2:14" ht="15" hidden="1">
      <c r="B159" s="3828" t="s">
        <v>581</v>
      </c>
      <c r="C159" s="3829"/>
      <c r="D159" s="3829"/>
      <c r="E159" s="3829"/>
      <c r="F159" s="3829"/>
      <c r="G159" s="3829"/>
      <c r="H159" s="3829"/>
      <c r="I159" s="3829"/>
      <c r="J159" s="3829"/>
      <c r="K159" s="3829"/>
      <c r="L159" s="3829"/>
      <c r="M159" s="3829"/>
      <c r="N159" s="3830"/>
    </row>
    <row r="160" spans="2:14" hidden="1">
      <c r="B160" s="762"/>
      <c r="C160" s="728"/>
      <c r="D160" s="728"/>
      <c r="E160" s="728"/>
      <c r="F160" s="728"/>
      <c r="G160" s="728"/>
      <c r="H160" s="728"/>
      <c r="I160" s="728"/>
      <c r="J160" s="728"/>
      <c r="K160" s="728"/>
      <c r="L160" s="728"/>
      <c r="M160" s="728"/>
      <c r="N160" s="922"/>
    </row>
    <row r="161" spans="2:14" s="671" customFormat="1" ht="15.75" hidden="1">
      <c r="B161" s="3834" t="s">
        <v>468</v>
      </c>
      <c r="C161" s="3835"/>
      <c r="D161" s="3835"/>
      <c r="E161" s="3835"/>
      <c r="F161" s="3835"/>
      <c r="G161" s="3835"/>
      <c r="H161" s="3835"/>
      <c r="I161" s="3835"/>
      <c r="J161" s="3835"/>
      <c r="K161" s="3835"/>
      <c r="L161" s="3835"/>
      <c r="M161" s="3835"/>
      <c r="N161" s="3836"/>
    </row>
    <row r="162" spans="2:14" s="730" customFormat="1" ht="15" hidden="1">
      <c r="B162" s="3785" t="s">
        <v>585</v>
      </c>
      <c r="C162" s="3786"/>
      <c r="D162" s="3786"/>
      <c r="E162" s="3786"/>
      <c r="F162" s="3786"/>
      <c r="G162" s="3786"/>
      <c r="H162" s="3786"/>
      <c r="I162" s="3786"/>
      <c r="J162" s="3786"/>
      <c r="K162" s="3786"/>
      <c r="L162" s="3786"/>
      <c r="M162" s="3786"/>
      <c r="N162" s="3787"/>
    </row>
    <row r="163" spans="2:14" s="730" customFormat="1" ht="15" hidden="1">
      <c r="B163" s="3785" t="s">
        <v>582</v>
      </c>
      <c r="C163" s="3786"/>
      <c r="D163" s="3786"/>
      <c r="E163" s="3786"/>
      <c r="F163" s="3786"/>
      <c r="G163" s="3786"/>
      <c r="H163" s="3786"/>
      <c r="I163" s="3786"/>
      <c r="J163" s="3786"/>
      <c r="K163" s="3786"/>
      <c r="L163" s="3786"/>
      <c r="M163" s="3786"/>
      <c r="N163" s="3787"/>
    </row>
    <row r="164" spans="2:14" s="730" customFormat="1" ht="15" hidden="1">
      <c r="B164" s="3785" t="s">
        <v>583</v>
      </c>
      <c r="C164" s="3786"/>
      <c r="D164" s="3786"/>
      <c r="E164" s="3786"/>
      <c r="F164" s="3786"/>
      <c r="G164" s="3786"/>
      <c r="H164" s="3786"/>
      <c r="I164" s="3786"/>
      <c r="J164" s="3786"/>
      <c r="K164" s="3786"/>
      <c r="L164" s="3786"/>
      <c r="M164" s="3786"/>
      <c r="N164" s="3787"/>
    </row>
    <row r="165" spans="2:14" s="730" customFormat="1" ht="15" hidden="1">
      <c r="B165" s="3792" t="s">
        <v>584</v>
      </c>
      <c r="C165" s="3793"/>
      <c r="D165" s="3793"/>
      <c r="E165" s="3793"/>
      <c r="F165" s="3793"/>
      <c r="G165" s="3793"/>
      <c r="H165" s="3793"/>
      <c r="I165" s="3793"/>
      <c r="J165" s="3793"/>
      <c r="K165" s="3793"/>
      <c r="L165" s="3793"/>
      <c r="M165" s="3793"/>
      <c r="N165" s="3794"/>
    </row>
    <row r="166" spans="2:14" s="731" customFormat="1" ht="15.75" hidden="1">
      <c r="B166" s="934"/>
      <c r="C166" s="732"/>
      <c r="D166" s="732"/>
      <c r="E166" s="732"/>
      <c r="F166" s="732"/>
      <c r="G166" s="732"/>
      <c r="H166" s="732"/>
      <c r="I166" s="732"/>
      <c r="J166" s="732"/>
      <c r="K166" s="732"/>
      <c r="L166" s="732"/>
      <c r="M166" s="732"/>
      <c r="N166" s="935"/>
    </row>
    <row r="167" spans="2:14" hidden="1">
      <c r="B167" s="3903" t="s">
        <v>469</v>
      </c>
      <c r="C167" s="3904"/>
      <c r="D167" s="3904"/>
      <c r="E167" s="3904"/>
      <c r="F167" s="3904"/>
      <c r="G167" s="3904"/>
      <c r="H167" s="3904"/>
      <c r="I167" s="3904"/>
      <c r="J167" s="3904"/>
      <c r="K167" s="3904"/>
      <c r="L167" s="3904"/>
      <c r="M167" s="3904"/>
      <c r="N167" s="3905"/>
    </row>
    <row r="168" spans="2:14" hidden="1">
      <c r="B168" s="3906"/>
      <c r="C168" s="3907"/>
      <c r="D168" s="3907"/>
      <c r="E168" s="3907"/>
      <c r="F168" s="3907"/>
      <c r="G168" s="3907"/>
      <c r="H168" s="3907"/>
      <c r="I168" s="3907"/>
      <c r="J168" s="3907"/>
      <c r="K168" s="3907"/>
      <c r="L168" s="3907"/>
      <c r="M168" s="3907"/>
      <c r="N168" s="3908"/>
    </row>
    <row r="169" spans="2:14" ht="15" hidden="1" customHeight="1">
      <c r="B169" s="3785" t="s">
        <v>608</v>
      </c>
      <c r="C169" s="3786"/>
      <c r="D169" s="3786"/>
      <c r="E169" s="3786"/>
      <c r="F169" s="3786"/>
      <c r="G169" s="3786"/>
      <c r="H169" s="3786"/>
      <c r="I169" s="3786"/>
      <c r="J169" s="3786"/>
      <c r="K169" s="3786"/>
      <c r="L169" s="3786"/>
      <c r="M169" s="3786"/>
      <c r="N169" s="3787"/>
    </row>
    <row r="170" spans="2:14" ht="15" hidden="1" customHeight="1">
      <c r="B170" s="3785" t="s">
        <v>609</v>
      </c>
      <c r="C170" s="3786"/>
      <c r="D170" s="3786"/>
      <c r="E170" s="3786"/>
      <c r="F170" s="3786"/>
      <c r="G170" s="3786"/>
      <c r="H170" s="3786"/>
      <c r="I170" s="3786"/>
      <c r="J170" s="3786"/>
      <c r="K170" s="3786"/>
      <c r="L170" s="3786"/>
      <c r="M170" s="3786"/>
      <c r="N170" s="3787"/>
    </row>
    <row r="171" spans="2:14" ht="15" hidden="1" customHeight="1">
      <c r="B171" s="3785" t="s">
        <v>610</v>
      </c>
      <c r="C171" s="3786"/>
      <c r="D171" s="3786"/>
      <c r="E171" s="3786"/>
      <c r="F171" s="3786"/>
      <c r="G171" s="3786"/>
      <c r="H171" s="3786"/>
      <c r="I171" s="3786"/>
      <c r="J171" s="3786"/>
      <c r="K171" s="3786"/>
      <c r="L171" s="3786"/>
      <c r="M171" s="3786"/>
      <c r="N171" s="3787"/>
    </row>
    <row r="172" spans="2:14" ht="15" hidden="1" customHeight="1">
      <c r="B172" s="3785" t="s">
        <v>611</v>
      </c>
      <c r="C172" s="3786"/>
      <c r="D172" s="3786"/>
      <c r="E172" s="3786"/>
      <c r="F172" s="3786"/>
      <c r="G172" s="3786"/>
      <c r="H172" s="3786"/>
      <c r="I172" s="3786"/>
      <c r="J172" s="3786"/>
      <c r="K172" s="3786"/>
      <c r="L172" s="3786"/>
      <c r="M172" s="3786"/>
      <c r="N172" s="3787"/>
    </row>
    <row r="173" spans="2:14" ht="15" hidden="1" customHeight="1">
      <c r="B173" s="3921" t="s">
        <v>612</v>
      </c>
      <c r="C173" s="3922"/>
      <c r="D173" s="3922"/>
      <c r="E173" s="3922"/>
      <c r="F173" s="3922"/>
      <c r="G173" s="3922"/>
      <c r="H173" s="3922"/>
      <c r="I173" s="3922"/>
      <c r="J173" s="3922"/>
      <c r="K173" s="3922"/>
      <c r="L173" s="3922"/>
      <c r="M173" s="3922"/>
      <c r="N173" s="3923"/>
    </row>
    <row r="174" spans="2:14" ht="15" hidden="1" customHeight="1">
      <c r="B174" s="3921" t="s">
        <v>613</v>
      </c>
      <c r="C174" s="3922"/>
      <c r="D174" s="3922"/>
      <c r="E174" s="3922"/>
      <c r="F174" s="3922"/>
      <c r="G174" s="3922"/>
      <c r="H174" s="3922"/>
      <c r="I174" s="3922"/>
      <c r="J174" s="3922"/>
      <c r="K174" s="3922"/>
      <c r="L174" s="3922"/>
      <c r="M174" s="3922"/>
      <c r="N174" s="3923"/>
    </row>
    <row r="175" spans="2:14" ht="15" hidden="1" customHeight="1">
      <c r="B175" s="3921" t="s">
        <v>614</v>
      </c>
      <c r="C175" s="3922"/>
      <c r="D175" s="3922"/>
      <c r="E175" s="3922"/>
      <c r="F175" s="3922"/>
      <c r="G175" s="3922"/>
      <c r="H175" s="3922"/>
      <c r="I175" s="3922"/>
      <c r="J175" s="3922"/>
      <c r="K175" s="3922"/>
      <c r="L175" s="3922"/>
      <c r="M175" s="3922"/>
      <c r="N175" s="3923"/>
    </row>
    <row r="176" spans="2:14" ht="15" hidden="1" customHeight="1">
      <c r="B176" s="3921" t="s">
        <v>615</v>
      </c>
      <c r="C176" s="3922"/>
      <c r="D176" s="3922"/>
      <c r="E176" s="3922"/>
      <c r="F176" s="3922"/>
      <c r="G176" s="3922"/>
      <c r="H176" s="3922"/>
      <c r="I176" s="3922"/>
      <c r="J176" s="3922"/>
      <c r="K176" s="3922"/>
      <c r="L176" s="3922"/>
      <c r="M176" s="3922"/>
      <c r="N176" s="3923"/>
    </row>
    <row r="177" spans="1:14" ht="15" hidden="1" customHeight="1">
      <c r="B177" s="3921" t="s">
        <v>616</v>
      </c>
      <c r="C177" s="3922"/>
      <c r="D177" s="3922"/>
      <c r="E177" s="3922"/>
      <c r="F177" s="3922"/>
      <c r="G177" s="3922"/>
      <c r="H177" s="3922"/>
      <c r="I177" s="3922"/>
      <c r="J177" s="3922"/>
      <c r="K177" s="3922"/>
      <c r="L177" s="3922"/>
      <c r="M177" s="3922"/>
      <c r="N177" s="3923"/>
    </row>
    <row r="178" spans="1:14" ht="15" hidden="1" customHeight="1" thickBot="1">
      <c r="B178" s="3924" t="s">
        <v>617</v>
      </c>
      <c r="C178" s="3925"/>
      <c r="D178" s="3925"/>
      <c r="E178" s="3925"/>
      <c r="F178" s="3925"/>
      <c r="G178" s="3925"/>
      <c r="H178" s="3925"/>
      <c r="I178" s="3925"/>
      <c r="J178" s="3925"/>
      <c r="K178" s="3925"/>
      <c r="L178" s="3925"/>
      <c r="M178" s="3925"/>
      <c r="N178" s="3926"/>
    </row>
    <row r="179" spans="1:14" hidden="1">
      <c r="B179" s="762"/>
      <c r="C179" s="728"/>
      <c r="D179" s="728"/>
      <c r="E179" s="728"/>
      <c r="F179" s="728"/>
      <c r="G179" s="728"/>
      <c r="H179" s="728"/>
      <c r="I179" s="728"/>
      <c r="J179" s="728"/>
      <c r="K179" s="728"/>
      <c r="L179" s="728"/>
      <c r="M179" s="728"/>
      <c r="N179" s="922"/>
    </row>
    <row r="180" spans="1:14" ht="15.75" hidden="1" customHeight="1" thickBot="1">
      <c r="B180" s="762"/>
      <c r="C180" s="728"/>
      <c r="D180" s="728"/>
      <c r="E180" s="728"/>
      <c r="F180" s="728"/>
      <c r="G180" s="728"/>
      <c r="H180" s="728"/>
      <c r="I180" s="728"/>
      <c r="J180" s="728"/>
      <c r="K180" s="728"/>
      <c r="L180" s="728"/>
      <c r="M180" s="728"/>
      <c r="N180" s="922"/>
    </row>
    <row r="181" spans="1:14" ht="11.25" hidden="1" customHeight="1">
      <c r="A181" s="761"/>
      <c r="B181" s="3927" t="s">
        <v>470</v>
      </c>
      <c r="C181" s="3928"/>
      <c r="D181" s="3928"/>
      <c r="E181" s="3928"/>
      <c r="F181" s="3928"/>
      <c r="G181" s="3928"/>
      <c r="H181" s="3928"/>
      <c r="I181" s="3928"/>
      <c r="J181" s="3928"/>
      <c r="K181" s="3928"/>
      <c r="L181" s="3928"/>
      <c r="M181" s="3928"/>
      <c r="N181" s="3929"/>
    </row>
    <row r="182" spans="1:14" ht="15" hidden="1" customHeight="1">
      <c r="A182" s="762"/>
      <c r="B182" s="3930"/>
      <c r="C182" s="3931"/>
      <c r="D182" s="3931"/>
      <c r="E182" s="3931"/>
      <c r="F182" s="3931"/>
      <c r="G182" s="3931"/>
      <c r="H182" s="3931"/>
      <c r="I182" s="3931"/>
      <c r="J182" s="3931"/>
      <c r="K182" s="3931"/>
      <c r="L182" s="3931"/>
      <c r="M182" s="3931"/>
      <c r="N182" s="3932"/>
    </row>
    <row r="183" spans="1:14" ht="15.75" hidden="1" customHeight="1">
      <c r="A183" s="762"/>
      <c r="B183" s="3845" t="s">
        <v>618</v>
      </c>
      <c r="C183" s="3846"/>
      <c r="D183" s="3846"/>
      <c r="E183" s="3846"/>
      <c r="F183" s="3846"/>
      <c r="G183" s="3846"/>
      <c r="H183" s="3846"/>
      <c r="I183" s="3846"/>
      <c r="J183" s="3846"/>
      <c r="K183" s="3846"/>
      <c r="L183" s="3846"/>
      <c r="M183" s="3846"/>
      <c r="N183" s="3847"/>
    </row>
    <row r="184" spans="1:14" ht="15.75" hidden="1" customHeight="1">
      <c r="A184" s="762"/>
      <c r="B184" s="3845" t="s">
        <v>619</v>
      </c>
      <c r="C184" s="3846"/>
      <c r="D184" s="3846"/>
      <c r="E184" s="3846"/>
      <c r="F184" s="3846"/>
      <c r="G184" s="3846"/>
      <c r="H184" s="3846"/>
      <c r="I184" s="3846"/>
      <c r="J184" s="3846"/>
      <c r="K184" s="3846"/>
      <c r="L184" s="3846"/>
      <c r="M184" s="3846"/>
      <c r="N184" s="3847"/>
    </row>
    <row r="185" spans="1:14" ht="15.75" hidden="1" customHeight="1">
      <c r="A185" s="762"/>
      <c r="B185" s="3845" t="s">
        <v>620</v>
      </c>
      <c r="C185" s="3846"/>
      <c r="D185" s="3846"/>
      <c r="E185" s="3846"/>
      <c r="F185" s="3846"/>
      <c r="G185" s="3846"/>
      <c r="H185" s="3846"/>
      <c r="I185" s="3846"/>
      <c r="J185" s="3846"/>
      <c r="K185" s="3846"/>
      <c r="L185" s="3846"/>
      <c r="M185" s="3846"/>
      <c r="N185" s="3847"/>
    </row>
    <row r="186" spans="1:14" ht="15.75" hidden="1" customHeight="1">
      <c r="A186" s="762"/>
      <c r="B186" s="3845" t="s">
        <v>621</v>
      </c>
      <c r="C186" s="3846"/>
      <c r="D186" s="3846"/>
      <c r="E186" s="3846"/>
      <c r="F186" s="3846"/>
      <c r="G186" s="3846"/>
      <c r="H186" s="3846"/>
      <c r="I186" s="3846"/>
      <c r="J186" s="3846"/>
      <c r="K186" s="3846"/>
      <c r="L186" s="3846"/>
      <c r="M186" s="3846"/>
      <c r="N186" s="3847"/>
    </row>
    <row r="187" spans="1:14" ht="15.75" hidden="1" customHeight="1">
      <c r="A187" s="762"/>
      <c r="B187" s="3845" t="s">
        <v>622</v>
      </c>
      <c r="C187" s="3846"/>
      <c r="D187" s="3846"/>
      <c r="E187" s="3846"/>
      <c r="F187" s="3846"/>
      <c r="G187" s="3846"/>
      <c r="H187" s="3846"/>
      <c r="I187" s="3846"/>
      <c r="J187" s="3846"/>
      <c r="K187" s="3846"/>
      <c r="L187" s="3846"/>
      <c r="M187" s="3846"/>
      <c r="N187" s="3847"/>
    </row>
    <row r="188" spans="1:14" ht="15.75" hidden="1" customHeight="1">
      <c r="A188" s="762"/>
      <c r="B188" s="3912" t="s">
        <v>623</v>
      </c>
      <c r="C188" s="3913"/>
      <c r="D188" s="3913"/>
      <c r="E188" s="3913"/>
      <c r="F188" s="3913"/>
      <c r="G188" s="3913"/>
      <c r="H188" s="3913"/>
      <c r="I188" s="3913"/>
      <c r="J188" s="3913"/>
      <c r="K188" s="3913"/>
      <c r="L188" s="3913"/>
      <c r="M188" s="3913"/>
      <c r="N188" s="3914"/>
    </row>
    <row r="189" spans="1:14" ht="15.75" hidden="1" customHeight="1">
      <c r="A189" s="762"/>
      <c r="B189" s="3845" t="s">
        <v>624</v>
      </c>
      <c r="C189" s="3846"/>
      <c r="D189" s="3846"/>
      <c r="E189" s="3846"/>
      <c r="F189" s="3846"/>
      <c r="G189" s="3846"/>
      <c r="H189" s="3846"/>
      <c r="I189" s="3846"/>
      <c r="J189" s="3846"/>
      <c r="K189" s="3846"/>
      <c r="L189" s="3846"/>
      <c r="M189" s="3846"/>
      <c r="N189" s="3847"/>
    </row>
    <row r="190" spans="1:14" ht="15.75" hidden="1" customHeight="1">
      <c r="A190" s="762"/>
      <c r="B190" s="3845" t="s">
        <v>625</v>
      </c>
      <c r="C190" s="3846"/>
      <c r="D190" s="3846"/>
      <c r="E190" s="3846"/>
      <c r="F190" s="3846"/>
      <c r="G190" s="3846"/>
      <c r="H190" s="3846"/>
      <c r="I190" s="3846"/>
      <c r="J190" s="3846"/>
      <c r="K190" s="3846"/>
      <c r="L190" s="3846"/>
      <c r="M190" s="3846"/>
      <c r="N190" s="3847"/>
    </row>
    <row r="191" spans="1:14" ht="15.75" hidden="1" customHeight="1">
      <c r="A191" s="762"/>
      <c r="B191" s="3845" t="s">
        <v>626</v>
      </c>
      <c r="C191" s="3846"/>
      <c r="D191" s="3846"/>
      <c r="E191" s="3846"/>
      <c r="F191" s="3846"/>
      <c r="G191" s="3846"/>
      <c r="H191" s="3846"/>
      <c r="I191" s="3846"/>
      <c r="J191" s="3846"/>
      <c r="K191" s="3846"/>
      <c r="L191" s="3846"/>
      <c r="M191" s="3846"/>
      <c r="N191" s="3847"/>
    </row>
    <row r="192" spans="1:14" ht="15.75" hidden="1" customHeight="1">
      <c r="A192" s="762"/>
      <c r="B192" s="3845" t="s">
        <v>627</v>
      </c>
      <c r="C192" s="3846"/>
      <c r="D192" s="3846"/>
      <c r="E192" s="3846"/>
      <c r="F192" s="3846"/>
      <c r="G192" s="3846"/>
      <c r="H192" s="3846"/>
      <c r="I192" s="3846"/>
      <c r="J192" s="3846"/>
      <c r="K192" s="3846"/>
      <c r="L192" s="3846"/>
      <c r="M192" s="3846"/>
      <c r="N192" s="3847"/>
    </row>
    <row r="193" spans="1:14" ht="15.75" hidden="1" customHeight="1">
      <c r="A193" s="762"/>
      <c r="B193" s="3845" t="s">
        <v>628</v>
      </c>
      <c r="C193" s="3846"/>
      <c r="D193" s="3846"/>
      <c r="E193" s="3846"/>
      <c r="F193" s="3846"/>
      <c r="G193" s="3846"/>
      <c r="H193" s="904"/>
      <c r="I193" s="904"/>
      <c r="J193" s="904"/>
      <c r="K193" s="904"/>
      <c r="L193" s="904"/>
      <c r="M193" s="904"/>
      <c r="N193" s="905"/>
    </row>
    <row r="194" spans="1:14" ht="15.75" hidden="1" customHeight="1">
      <c r="A194" s="762"/>
      <c r="B194" s="3845" t="s">
        <v>629</v>
      </c>
      <c r="C194" s="3846"/>
      <c r="D194" s="3846"/>
      <c r="E194" s="3846"/>
      <c r="F194" s="3846"/>
      <c r="G194" s="3846"/>
      <c r="H194" s="3846"/>
      <c r="I194" s="3846"/>
      <c r="J194" s="3846"/>
      <c r="K194" s="3846"/>
      <c r="L194" s="3846"/>
      <c r="M194" s="3846"/>
      <c r="N194" s="3847"/>
    </row>
    <row r="195" spans="1:14" ht="15.75" hidden="1" customHeight="1">
      <c r="A195" s="762"/>
      <c r="B195" s="3845" t="s">
        <v>630</v>
      </c>
      <c r="C195" s="3846"/>
      <c r="D195" s="3846"/>
      <c r="E195" s="3846"/>
      <c r="F195" s="3846"/>
      <c r="G195" s="3846"/>
      <c r="H195" s="3846"/>
      <c r="I195" s="3846"/>
      <c r="J195" s="3846"/>
      <c r="K195" s="3846"/>
      <c r="L195" s="3846"/>
      <c r="M195" s="3846"/>
      <c r="N195" s="3847"/>
    </row>
    <row r="196" spans="1:14" ht="15.75" hidden="1" customHeight="1">
      <c r="A196" s="762"/>
      <c r="B196" s="3845" t="s">
        <v>631</v>
      </c>
      <c r="C196" s="3846"/>
      <c r="D196" s="3846"/>
      <c r="E196" s="3846"/>
      <c r="F196" s="3846"/>
      <c r="G196" s="3846"/>
      <c r="H196" s="3846"/>
      <c r="I196" s="3846"/>
      <c r="J196" s="3846"/>
      <c r="K196" s="3846"/>
      <c r="L196" s="3846"/>
      <c r="M196" s="3846"/>
      <c r="N196" s="3847"/>
    </row>
    <row r="197" spans="1:14" ht="15" hidden="1" customHeight="1">
      <c r="A197" s="762"/>
      <c r="B197" s="3845" t="s">
        <v>632</v>
      </c>
      <c r="C197" s="3846"/>
      <c r="D197" s="3846"/>
      <c r="E197" s="3846"/>
      <c r="F197" s="3846"/>
      <c r="G197" s="3846"/>
      <c r="H197" s="904"/>
      <c r="I197" s="904"/>
      <c r="J197" s="904"/>
      <c r="K197" s="904"/>
      <c r="L197" s="904"/>
      <c r="M197" s="904"/>
      <c r="N197" s="905"/>
    </row>
    <row r="198" spans="1:14" ht="15" hidden="1" customHeight="1">
      <c r="A198" s="762"/>
      <c r="B198" s="3845" t="s">
        <v>633</v>
      </c>
      <c r="C198" s="3846"/>
      <c r="D198" s="3846"/>
      <c r="E198" s="3846"/>
      <c r="F198" s="3846"/>
      <c r="G198" s="3846"/>
      <c r="H198" s="3846"/>
      <c r="I198" s="3846"/>
      <c r="J198" s="3846"/>
      <c r="K198" s="3846"/>
      <c r="L198" s="3846"/>
      <c r="M198" s="3846"/>
      <c r="N198" s="3847"/>
    </row>
    <row r="199" spans="1:14" ht="15" hidden="1" customHeight="1">
      <c r="A199" s="762"/>
      <c r="B199" s="788"/>
      <c r="C199" s="789"/>
      <c r="D199" s="789"/>
      <c r="E199" s="789"/>
      <c r="F199" s="789"/>
      <c r="G199" s="789"/>
      <c r="H199" s="789"/>
      <c r="I199" s="789"/>
      <c r="J199" s="789"/>
      <c r="K199" s="789"/>
      <c r="L199" s="789"/>
      <c r="M199" s="789"/>
      <c r="N199" s="790"/>
    </row>
    <row r="200" spans="1:14" ht="15" hidden="1" customHeight="1" thickBot="1">
      <c r="B200" s="762"/>
      <c r="C200" s="728"/>
      <c r="D200" s="728"/>
      <c r="E200" s="728"/>
      <c r="F200" s="728"/>
      <c r="G200" s="728"/>
      <c r="H200" s="728"/>
      <c r="I200" s="728"/>
      <c r="J200" s="728"/>
      <c r="K200" s="728"/>
      <c r="L200" s="728"/>
      <c r="M200" s="728"/>
      <c r="N200" s="922"/>
    </row>
    <row r="201" spans="1:14" ht="11.25" hidden="1" customHeight="1">
      <c r="B201" s="3915" t="s">
        <v>471</v>
      </c>
      <c r="C201" s="3916"/>
      <c r="D201" s="3916"/>
      <c r="E201" s="3916"/>
      <c r="F201" s="3916"/>
      <c r="G201" s="3916"/>
      <c r="H201" s="3916"/>
      <c r="I201" s="3916"/>
      <c r="J201" s="3916"/>
      <c r="K201" s="3916"/>
      <c r="L201" s="3916"/>
      <c r="M201" s="3916"/>
      <c r="N201" s="3917"/>
    </row>
    <row r="202" spans="1:14" ht="15" hidden="1" customHeight="1">
      <c r="B202" s="3918"/>
      <c r="C202" s="3919"/>
      <c r="D202" s="3919"/>
      <c r="E202" s="3919"/>
      <c r="F202" s="3919"/>
      <c r="G202" s="3919"/>
      <c r="H202" s="3919"/>
      <c r="I202" s="3919"/>
      <c r="J202" s="3919"/>
      <c r="K202" s="3919"/>
      <c r="L202" s="3919"/>
      <c r="M202" s="3919"/>
      <c r="N202" s="3920"/>
    </row>
    <row r="203" spans="1:14" ht="15" hidden="1" customHeight="1">
      <c r="B203" s="3845" t="s">
        <v>634</v>
      </c>
      <c r="C203" s="3846"/>
      <c r="D203" s="3846"/>
      <c r="E203" s="3846"/>
      <c r="F203" s="3846"/>
      <c r="G203" s="3846"/>
      <c r="H203" s="3846"/>
      <c r="I203" s="3846"/>
      <c r="J203" s="3846"/>
      <c r="K203" s="3846"/>
      <c r="L203" s="3846"/>
      <c r="M203" s="3846"/>
      <c r="N203" s="3847"/>
    </row>
    <row r="204" spans="1:14" ht="15" hidden="1" customHeight="1">
      <c r="B204" s="3845" t="s">
        <v>634</v>
      </c>
      <c r="C204" s="3846"/>
      <c r="D204" s="3846"/>
      <c r="E204" s="3846"/>
      <c r="F204" s="3846"/>
      <c r="G204" s="3846"/>
      <c r="H204" s="3846"/>
      <c r="I204" s="3846"/>
      <c r="J204" s="3846"/>
      <c r="K204" s="3846"/>
      <c r="L204" s="3846"/>
      <c r="M204" s="3846"/>
      <c r="N204" s="3847"/>
    </row>
    <row r="205" spans="1:14" ht="15" hidden="1" customHeight="1">
      <c r="B205" s="3792"/>
      <c r="C205" s="3793"/>
      <c r="D205" s="3793"/>
      <c r="E205" s="3793"/>
      <c r="F205" s="3793"/>
      <c r="G205" s="3793"/>
      <c r="H205" s="3793"/>
      <c r="I205" s="3793"/>
      <c r="J205" s="3793"/>
      <c r="K205" s="3793"/>
      <c r="L205" s="3793"/>
      <c r="M205" s="3793"/>
      <c r="N205" s="3794"/>
    </row>
    <row r="206" spans="1:14" ht="15" hidden="1">
      <c r="B206" s="3792"/>
      <c r="C206" s="3793"/>
      <c r="D206" s="3793"/>
      <c r="E206" s="3793"/>
      <c r="F206" s="3793"/>
      <c r="G206" s="3793"/>
      <c r="H206" s="3793"/>
      <c r="I206" s="3793"/>
      <c r="J206" s="3793"/>
      <c r="K206" s="3793"/>
      <c r="L206" s="3793"/>
      <c r="M206" s="3793"/>
      <c r="N206" s="3794"/>
    </row>
    <row r="207" spans="1:14" hidden="1"/>
    <row r="208" spans="1:14" ht="26.25" hidden="1">
      <c r="B208" s="3766" t="s">
        <v>523</v>
      </c>
      <c r="C208" s="3767"/>
      <c r="D208" s="3767"/>
      <c r="E208" s="3767"/>
      <c r="F208" s="3767"/>
      <c r="G208" s="3767"/>
      <c r="H208" s="3767"/>
      <c r="I208" s="3767"/>
      <c r="J208" s="3767"/>
      <c r="K208" s="3767"/>
      <c r="L208" s="3767"/>
      <c r="M208" s="3767"/>
      <c r="N208" s="3768"/>
    </row>
    <row r="209" spans="2:14" ht="16.5" hidden="1" thickBot="1">
      <c r="B209" s="3993" t="s">
        <v>405</v>
      </c>
      <c r="C209" s="3994"/>
      <c r="D209" s="3994"/>
      <c r="E209" s="3994"/>
      <c r="F209" s="3994"/>
      <c r="G209" s="3994"/>
      <c r="H209" s="3994"/>
      <c r="I209" s="3994"/>
      <c r="J209" s="3994"/>
      <c r="K209" s="3994"/>
      <c r="L209" s="3994"/>
      <c r="M209" s="3994"/>
      <c r="N209" s="3995"/>
    </row>
    <row r="210" spans="2:14" ht="15.75" hidden="1">
      <c r="B210" s="3990" t="s">
        <v>673</v>
      </c>
      <c r="C210" s="3991"/>
      <c r="D210" s="3991"/>
      <c r="E210" s="3991"/>
      <c r="F210" s="3991"/>
      <c r="G210" s="3991"/>
      <c r="H210" s="3991"/>
      <c r="I210" s="3991"/>
      <c r="J210" s="3991"/>
      <c r="K210" s="3991"/>
      <c r="L210" s="3991"/>
      <c r="M210" s="3991"/>
      <c r="N210" s="3992"/>
    </row>
    <row r="211" spans="2:14" ht="15.75" hidden="1">
      <c r="B211" s="3939" t="s">
        <v>674</v>
      </c>
      <c r="C211" s="3940"/>
      <c r="D211" s="3940"/>
      <c r="E211" s="3940"/>
      <c r="F211" s="3940"/>
      <c r="G211" s="3940"/>
      <c r="H211" s="3940"/>
      <c r="I211" s="3940"/>
      <c r="J211" s="3940"/>
      <c r="K211" s="3940"/>
      <c r="L211" s="3940"/>
      <c r="M211" s="3940"/>
      <c r="N211" s="3941"/>
    </row>
    <row r="212" spans="2:14" ht="15.75" hidden="1">
      <c r="B212" s="3942" t="s">
        <v>675</v>
      </c>
      <c r="C212" s="3943"/>
      <c r="D212" s="3943"/>
      <c r="E212" s="3943"/>
      <c r="F212" s="3943"/>
      <c r="G212" s="3943"/>
      <c r="H212" s="3943"/>
      <c r="I212" s="3943"/>
      <c r="J212" s="3943"/>
      <c r="K212" s="3943"/>
      <c r="L212" s="3943"/>
      <c r="M212" s="3943"/>
      <c r="N212" s="3944"/>
    </row>
    <row r="213" spans="2:14" ht="15.75" hidden="1">
      <c r="B213" s="3939" t="s">
        <v>676</v>
      </c>
      <c r="C213" s="3940"/>
      <c r="D213" s="3940"/>
      <c r="E213" s="3940"/>
      <c r="F213" s="3940"/>
      <c r="G213" s="3940"/>
      <c r="H213" s="3940"/>
      <c r="I213" s="3940"/>
      <c r="J213" s="3940"/>
      <c r="K213" s="3940"/>
      <c r="L213" s="3940"/>
      <c r="M213" s="3940"/>
      <c r="N213" s="3941"/>
    </row>
    <row r="214" spans="2:14" ht="15.75" hidden="1">
      <c r="B214" s="3963" t="s">
        <v>677</v>
      </c>
      <c r="C214" s="3964"/>
      <c r="D214" s="3964"/>
      <c r="E214" s="3964"/>
      <c r="F214" s="3964"/>
      <c r="G214" s="3964"/>
      <c r="H214" s="3964"/>
      <c r="I214" s="3964"/>
      <c r="J214" s="3964"/>
      <c r="K214" s="3964"/>
      <c r="L214" s="3964"/>
      <c r="M214" s="3964"/>
      <c r="N214" s="3965"/>
    </row>
    <row r="215" spans="2:14" ht="15.75" hidden="1">
      <c r="B215" s="3939" t="s">
        <v>678</v>
      </c>
      <c r="C215" s="3940"/>
      <c r="D215" s="3940"/>
      <c r="E215" s="3940"/>
      <c r="F215" s="3940"/>
      <c r="G215" s="3940"/>
      <c r="H215" s="3940"/>
      <c r="I215" s="3940"/>
      <c r="J215" s="3940"/>
      <c r="K215" s="3940"/>
      <c r="L215" s="3940"/>
      <c r="M215" s="3940"/>
      <c r="N215" s="3941"/>
    </row>
    <row r="216" spans="2:14" ht="15.75" hidden="1">
      <c r="B216" s="3939" t="s">
        <v>679</v>
      </c>
      <c r="C216" s="3940"/>
      <c r="D216" s="3940"/>
      <c r="E216" s="3940"/>
      <c r="F216" s="3940"/>
      <c r="G216" s="3940"/>
      <c r="H216" s="3940"/>
      <c r="I216" s="3940"/>
      <c r="J216" s="3940"/>
      <c r="K216" s="3940"/>
      <c r="L216" s="3940"/>
      <c r="M216" s="3940"/>
      <c r="N216" s="3941"/>
    </row>
    <row r="217" spans="2:14" ht="15.75" hidden="1">
      <c r="B217" s="3939" t="s">
        <v>680</v>
      </c>
      <c r="C217" s="3940"/>
      <c r="D217" s="3940"/>
      <c r="E217" s="3940"/>
      <c r="F217" s="3940"/>
      <c r="G217" s="3940"/>
      <c r="H217" s="3940"/>
      <c r="I217" s="3940"/>
      <c r="J217" s="3940"/>
      <c r="K217" s="3940"/>
      <c r="L217" s="3940"/>
      <c r="M217" s="3940"/>
      <c r="N217" s="3941"/>
    </row>
    <row r="218" spans="2:14" ht="15.75" hidden="1">
      <c r="B218" s="3939" t="s">
        <v>681</v>
      </c>
      <c r="C218" s="3940"/>
      <c r="D218" s="3940"/>
      <c r="E218" s="3940"/>
      <c r="F218" s="3940"/>
      <c r="G218" s="3940"/>
      <c r="H218" s="3940"/>
      <c r="I218" s="3940"/>
      <c r="J218" s="3940"/>
      <c r="K218" s="3940"/>
      <c r="L218" s="3940"/>
      <c r="M218" s="3940"/>
      <c r="N218" s="3941"/>
    </row>
    <row r="219" spans="2:14" ht="15.75" hidden="1">
      <c r="B219" s="3936"/>
      <c r="C219" s="3937"/>
      <c r="D219" s="3937"/>
      <c r="E219" s="3937"/>
      <c r="F219" s="3937"/>
      <c r="G219" s="3937"/>
      <c r="H219" s="3937"/>
      <c r="I219" s="3937"/>
      <c r="J219" s="3937"/>
      <c r="K219" s="3937"/>
      <c r="L219" s="3937"/>
      <c r="M219" s="3937"/>
      <c r="N219" s="3938"/>
    </row>
    <row r="220" spans="2:14" ht="15.75" hidden="1">
      <c r="B220" s="3948" t="s">
        <v>406</v>
      </c>
      <c r="C220" s="3949"/>
      <c r="D220" s="3949"/>
      <c r="E220" s="3949"/>
      <c r="F220" s="3949"/>
      <c r="G220" s="3949"/>
      <c r="H220" s="3949"/>
      <c r="I220" s="3949"/>
      <c r="J220" s="3949"/>
      <c r="K220" s="3949"/>
      <c r="L220" s="3949"/>
      <c r="M220" s="3949"/>
      <c r="N220" s="3950"/>
    </row>
    <row r="221" spans="2:14" ht="15.75" hidden="1">
      <c r="B221" s="3939" t="s">
        <v>682</v>
      </c>
      <c r="C221" s="3940"/>
      <c r="D221" s="3940"/>
      <c r="E221" s="3940"/>
      <c r="F221" s="3940"/>
      <c r="G221" s="3940"/>
      <c r="H221" s="3940"/>
      <c r="I221" s="3940"/>
      <c r="J221" s="3940"/>
      <c r="K221" s="3940"/>
      <c r="L221" s="3940"/>
      <c r="M221" s="3940"/>
      <c r="N221" s="3941"/>
    </row>
    <row r="222" spans="2:14" ht="15.75" hidden="1">
      <c r="B222" s="3939" t="s">
        <v>683</v>
      </c>
      <c r="C222" s="3940"/>
      <c r="D222" s="3940"/>
      <c r="E222" s="3940"/>
      <c r="F222" s="3940"/>
      <c r="G222" s="3940"/>
      <c r="H222" s="3940"/>
      <c r="I222" s="3940"/>
      <c r="J222" s="3940"/>
      <c r="K222" s="3940"/>
      <c r="L222" s="3940"/>
      <c r="M222" s="3940"/>
      <c r="N222" s="3941"/>
    </row>
    <row r="223" spans="2:14" ht="15.75" hidden="1">
      <c r="B223" s="3951"/>
      <c r="C223" s="3952"/>
      <c r="D223" s="3952"/>
      <c r="E223" s="3952"/>
      <c r="F223" s="3952"/>
      <c r="G223" s="3952"/>
      <c r="H223" s="3952"/>
      <c r="I223" s="3952"/>
      <c r="J223" s="3952"/>
      <c r="K223" s="3952"/>
      <c r="L223" s="3952"/>
      <c r="M223" s="3952"/>
      <c r="N223" s="3953"/>
    </row>
    <row r="224" spans="2:14" ht="15.75" hidden="1">
      <c r="B224" s="3954" t="s">
        <v>407</v>
      </c>
      <c r="C224" s="3955"/>
      <c r="D224" s="3955"/>
      <c r="E224" s="3955"/>
      <c r="F224" s="3955"/>
      <c r="G224" s="3955"/>
      <c r="H224" s="3955"/>
      <c r="I224" s="3955"/>
      <c r="J224" s="3955"/>
      <c r="K224" s="3955"/>
      <c r="L224" s="3955"/>
      <c r="M224" s="3955"/>
      <c r="N224" s="3956"/>
    </row>
    <row r="225" spans="2:14" ht="15.75" hidden="1">
      <c r="B225" s="3960" t="s">
        <v>684</v>
      </c>
      <c r="C225" s="3961"/>
      <c r="D225" s="3961"/>
      <c r="E225" s="3961"/>
      <c r="F225" s="3961"/>
      <c r="G225" s="3961"/>
      <c r="H225" s="3961"/>
      <c r="I225" s="3961"/>
      <c r="J225" s="3961"/>
      <c r="K225" s="3961"/>
      <c r="L225" s="3961"/>
      <c r="M225" s="3961"/>
      <c r="N225" s="3962"/>
    </row>
    <row r="226" spans="2:14" ht="15.75" hidden="1">
      <c r="B226" s="3960" t="s">
        <v>685</v>
      </c>
      <c r="C226" s="3961"/>
      <c r="D226" s="3961"/>
      <c r="E226" s="3961"/>
      <c r="F226" s="3961"/>
      <c r="G226" s="3961"/>
      <c r="H226" s="3961"/>
      <c r="I226" s="3961"/>
      <c r="J226" s="3961"/>
      <c r="K226" s="3961"/>
      <c r="L226" s="3961"/>
      <c r="M226" s="3961"/>
      <c r="N226" s="3962"/>
    </row>
    <row r="227" spans="2:14" ht="15.75" hidden="1">
      <c r="B227" s="3963" t="s">
        <v>686</v>
      </c>
      <c r="C227" s="3964"/>
      <c r="D227" s="3964"/>
      <c r="E227" s="3964"/>
      <c r="F227" s="3964"/>
      <c r="G227" s="3964"/>
      <c r="H227" s="3964"/>
      <c r="I227" s="3964"/>
      <c r="J227" s="3964"/>
      <c r="K227" s="3964"/>
      <c r="L227" s="3964"/>
      <c r="M227" s="3964"/>
      <c r="N227" s="3965"/>
    </row>
    <row r="228" spans="2:14" ht="15.75" hidden="1">
      <c r="B228" s="3942" t="s">
        <v>687</v>
      </c>
      <c r="C228" s="3943"/>
      <c r="D228" s="3943"/>
      <c r="E228" s="3943"/>
      <c r="F228" s="3943"/>
      <c r="G228" s="3943"/>
      <c r="H228" s="3943"/>
      <c r="I228" s="3943"/>
      <c r="J228" s="3943"/>
      <c r="K228" s="3943"/>
      <c r="L228" s="3943"/>
      <c r="M228" s="3943"/>
      <c r="N228" s="3944"/>
    </row>
    <row r="229" spans="2:14" ht="15.75" hidden="1">
      <c r="B229" s="3939" t="s">
        <v>688</v>
      </c>
      <c r="C229" s="3940"/>
      <c r="D229" s="3940"/>
      <c r="E229" s="3940"/>
      <c r="F229" s="3940"/>
      <c r="G229" s="3940"/>
      <c r="H229" s="3940"/>
      <c r="I229" s="3940"/>
      <c r="J229" s="3940"/>
      <c r="K229" s="3940"/>
      <c r="L229" s="3940"/>
      <c r="M229" s="3940"/>
      <c r="N229" s="3941"/>
    </row>
    <row r="230" spans="2:14" ht="15.75" hidden="1">
      <c r="B230" s="3942" t="s">
        <v>689</v>
      </c>
      <c r="C230" s="3943"/>
      <c r="D230" s="3943"/>
      <c r="E230" s="3943"/>
      <c r="F230" s="3943"/>
      <c r="G230" s="3943"/>
      <c r="H230" s="3943"/>
      <c r="I230" s="3943"/>
      <c r="J230" s="3943"/>
      <c r="K230" s="3943"/>
      <c r="L230" s="3943"/>
      <c r="M230" s="3943"/>
      <c r="N230" s="3944"/>
    </row>
    <row r="231" spans="2:14" ht="15.75" hidden="1">
      <c r="B231" s="3939" t="s">
        <v>690</v>
      </c>
      <c r="C231" s="3940"/>
      <c r="D231" s="3940"/>
      <c r="E231" s="3940"/>
      <c r="F231" s="3940"/>
      <c r="G231" s="3940"/>
      <c r="H231" s="3940"/>
      <c r="I231" s="3940"/>
      <c r="J231" s="3940"/>
      <c r="K231" s="3940"/>
      <c r="L231" s="3940"/>
      <c r="M231" s="3940"/>
      <c r="N231" s="3941"/>
    </row>
    <row r="232" spans="2:14" ht="15.75" hidden="1">
      <c r="B232" s="3939" t="s">
        <v>691</v>
      </c>
      <c r="C232" s="3940"/>
      <c r="D232" s="3940"/>
      <c r="E232" s="3940"/>
      <c r="F232" s="3940"/>
      <c r="G232" s="3940"/>
      <c r="H232" s="3940"/>
      <c r="I232" s="3940"/>
      <c r="J232" s="3940"/>
      <c r="K232" s="3940"/>
      <c r="L232" s="3940"/>
      <c r="M232" s="3940"/>
      <c r="N232" s="3941"/>
    </row>
    <row r="233" spans="2:14" ht="16.5" hidden="1" thickBot="1">
      <c r="B233" s="3945" t="s">
        <v>692</v>
      </c>
      <c r="C233" s="3946"/>
      <c r="D233" s="3946"/>
      <c r="E233" s="3946"/>
      <c r="F233" s="3946"/>
      <c r="G233" s="3946"/>
      <c r="H233" s="3946"/>
      <c r="I233" s="3946"/>
      <c r="J233" s="3946"/>
      <c r="K233" s="3946"/>
      <c r="L233" s="3946"/>
      <c r="M233" s="3946"/>
      <c r="N233" s="3947"/>
    </row>
    <row r="234" spans="2:14" ht="15.75" hidden="1">
      <c r="B234" s="1267"/>
      <c r="C234" s="1267"/>
      <c r="D234" s="1267"/>
      <c r="E234" s="1267"/>
      <c r="F234" s="1267"/>
      <c r="G234" s="1267"/>
      <c r="H234" s="1267"/>
      <c r="I234" s="1267"/>
      <c r="J234" s="1267"/>
      <c r="K234" s="1267"/>
      <c r="L234" s="1267"/>
      <c r="M234" s="1267"/>
      <c r="N234" s="1267"/>
    </row>
    <row r="235" spans="2:14" ht="16.5" hidden="1" thickBot="1">
      <c r="B235" s="3957" t="s">
        <v>408</v>
      </c>
      <c r="C235" s="3958"/>
      <c r="D235" s="3958"/>
      <c r="E235" s="3958"/>
      <c r="F235" s="3958"/>
      <c r="G235" s="3958"/>
      <c r="H235" s="3958"/>
      <c r="I235" s="3958"/>
      <c r="J235" s="3958"/>
      <c r="K235" s="3958"/>
      <c r="L235" s="3958"/>
      <c r="M235" s="3958"/>
      <c r="N235" s="3959"/>
    </row>
    <row r="236" spans="2:14" ht="15.75" hidden="1">
      <c r="B236" s="3966" t="s">
        <v>708</v>
      </c>
      <c r="C236" s="3967"/>
      <c r="D236" s="3967"/>
      <c r="E236" s="3967"/>
      <c r="F236" s="3967"/>
      <c r="G236" s="3967"/>
      <c r="H236" s="3967"/>
      <c r="I236" s="3967"/>
      <c r="J236" s="3967"/>
      <c r="K236" s="3967"/>
      <c r="L236" s="3967"/>
      <c r="M236" s="3967"/>
      <c r="N236" s="3968"/>
    </row>
    <row r="237" spans="2:14" ht="15.75" hidden="1">
      <c r="B237" s="3942" t="s">
        <v>709</v>
      </c>
      <c r="C237" s="3943"/>
      <c r="D237" s="3943"/>
      <c r="E237" s="3943"/>
      <c r="F237" s="3943"/>
      <c r="G237" s="3943"/>
      <c r="H237" s="3943"/>
      <c r="I237" s="3943"/>
      <c r="J237" s="3943"/>
      <c r="K237" s="3943"/>
      <c r="L237" s="3943"/>
      <c r="M237" s="3943"/>
      <c r="N237" s="3944"/>
    </row>
    <row r="238" spans="2:14" ht="15.75" hidden="1">
      <c r="B238" s="3942" t="s">
        <v>710</v>
      </c>
      <c r="C238" s="3943"/>
      <c r="D238" s="3943"/>
      <c r="E238" s="3943"/>
      <c r="F238" s="3943"/>
      <c r="G238" s="3943"/>
      <c r="H238" s="3943"/>
      <c r="I238" s="3943"/>
      <c r="J238" s="3943"/>
      <c r="K238" s="3943"/>
      <c r="L238" s="3943"/>
      <c r="M238" s="3943"/>
      <c r="N238" s="3944"/>
    </row>
    <row r="239" spans="2:14" ht="16.5" hidden="1" thickBot="1">
      <c r="B239" s="3996" t="s">
        <v>711</v>
      </c>
      <c r="C239" s="3997"/>
      <c r="D239" s="3997"/>
      <c r="E239" s="3997"/>
      <c r="F239" s="3997"/>
      <c r="G239" s="3997"/>
      <c r="H239" s="3997"/>
      <c r="I239" s="3997"/>
      <c r="J239" s="3997"/>
      <c r="K239" s="3997"/>
      <c r="L239" s="3997"/>
      <c r="M239" s="3997"/>
      <c r="N239" s="3998"/>
    </row>
    <row r="240" spans="2:14" ht="15.75" hidden="1">
      <c r="B240" s="1268"/>
      <c r="C240" s="1268"/>
      <c r="D240" s="1268"/>
      <c r="E240" s="1268"/>
      <c r="F240" s="1268"/>
      <c r="G240" s="1268"/>
      <c r="H240" s="1268"/>
      <c r="I240" s="1268"/>
      <c r="J240" s="1268"/>
      <c r="K240" s="1268"/>
      <c r="L240" s="1268"/>
      <c r="M240" s="1268"/>
      <c r="N240" s="1268"/>
    </row>
    <row r="241" spans="2:14" ht="15.75" hidden="1">
      <c r="B241" s="3969" t="s">
        <v>409</v>
      </c>
      <c r="C241" s="3970"/>
      <c r="D241" s="3970"/>
      <c r="E241" s="3970"/>
      <c r="F241" s="3970"/>
      <c r="G241" s="3970"/>
      <c r="H241" s="3970"/>
      <c r="I241" s="3970"/>
      <c r="J241" s="3970"/>
      <c r="K241" s="3970"/>
      <c r="L241" s="3970"/>
      <c r="M241" s="3970"/>
      <c r="N241" s="3971"/>
    </row>
    <row r="242" spans="2:14" ht="15.75" hidden="1">
      <c r="B242" s="3819" t="s">
        <v>712</v>
      </c>
      <c r="C242" s="3820"/>
      <c r="D242" s="3820"/>
      <c r="E242" s="3820"/>
      <c r="F242" s="3820"/>
      <c r="G242" s="3820"/>
      <c r="H242" s="3820"/>
      <c r="I242" s="3820"/>
      <c r="J242" s="3820"/>
      <c r="K242" s="3820"/>
      <c r="L242" s="3820"/>
      <c r="M242" s="3820"/>
      <c r="N242" s="3821"/>
    </row>
    <row r="243" spans="2:14" ht="15.75" hidden="1">
      <c r="B243" s="3819" t="s">
        <v>713</v>
      </c>
      <c r="C243" s="3820"/>
      <c r="D243" s="3820"/>
      <c r="E243" s="3820"/>
      <c r="F243" s="3820"/>
      <c r="G243" s="3820"/>
      <c r="H243" s="3820"/>
      <c r="I243" s="3820"/>
      <c r="J243" s="3820"/>
      <c r="K243" s="3820"/>
      <c r="L243" s="3820"/>
      <c r="M243" s="3820"/>
      <c r="N243" s="3821"/>
    </row>
    <row r="244" spans="2:14" ht="15.75" hidden="1">
      <c r="B244" s="3972" t="s">
        <v>714</v>
      </c>
      <c r="C244" s="3973"/>
      <c r="D244" s="3973"/>
      <c r="E244" s="3973"/>
      <c r="F244" s="3973"/>
      <c r="G244" s="3973"/>
      <c r="H244" s="3973"/>
      <c r="I244" s="3973"/>
      <c r="J244" s="3973"/>
      <c r="K244" s="3973"/>
      <c r="L244" s="3973"/>
      <c r="M244" s="3973"/>
      <c r="N244" s="3974"/>
    </row>
    <row r="245" spans="2:14" ht="15.75" hidden="1">
      <c r="B245" s="3819" t="s">
        <v>715</v>
      </c>
      <c r="C245" s="3820"/>
      <c r="D245" s="3820"/>
      <c r="E245" s="3820"/>
      <c r="F245" s="3820"/>
      <c r="G245" s="3820"/>
      <c r="H245" s="3820"/>
      <c r="I245" s="3820"/>
      <c r="J245" s="3820"/>
      <c r="K245" s="3820"/>
      <c r="L245" s="3820"/>
      <c r="M245" s="3820"/>
      <c r="N245" s="3821"/>
    </row>
    <row r="246" spans="2:14" ht="15.75" hidden="1">
      <c r="B246" s="3819" t="s">
        <v>716</v>
      </c>
      <c r="C246" s="3820"/>
      <c r="D246" s="3820"/>
      <c r="E246" s="3820"/>
      <c r="F246" s="3820"/>
      <c r="G246" s="3820"/>
      <c r="H246" s="3820"/>
      <c r="I246" s="3820"/>
      <c r="J246" s="3820"/>
      <c r="K246" s="3820"/>
      <c r="L246" s="3820"/>
      <c r="M246" s="3820"/>
      <c r="N246" s="3821"/>
    </row>
    <row r="247" spans="2:14" ht="15.75" hidden="1">
      <c r="B247" s="3819" t="s">
        <v>717</v>
      </c>
      <c r="C247" s="3820"/>
      <c r="D247" s="3820"/>
      <c r="E247" s="3820"/>
      <c r="F247" s="3820"/>
      <c r="G247" s="3820"/>
      <c r="H247" s="3820"/>
      <c r="I247" s="3820"/>
      <c r="J247" s="3820"/>
      <c r="K247" s="3820"/>
      <c r="L247" s="3820"/>
      <c r="M247" s="3820"/>
      <c r="N247" s="3821"/>
    </row>
    <row r="248" spans="2:14" ht="15.75" hidden="1">
      <c r="B248" s="1267"/>
      <c r="C248" s="1267"/>
      <c r="D248" s="1267"/>
      <c r="E248" s="1267"/>
      <c r="F248" s="1267"/>
      <c r="G248" s="1267"/>
      <c r="H248" s="1267"/>
      <c r="I248" s="1267"/>
      <c r="J248" s="1267"/>
      <c r="K248" s="1267"/>
      <c r="L248" s="1267"/>
      <c r="M248" s="1267"/>
      <c r="N248" s="1267"/>
    </row>
    <row r="249" spans="2:14" ht="15.75" hidden="1">
      <c r="B249" s="3822" t="s">
        <v>420</v>
      </c>
      <c r="C249" s="3823"/>
      <c r="D249" s="3823"/>
      <c r="E249" s="3823"/>
      <c r="F249" s="3823"/>
      <c r="G249" s="3823"/>
      <c r="H249" s="3823"/>
      <c r="I249" s="3823"/>
      <c r="J249" s="3823"/>
      <c r="K249" s="3823"/>
      <c r="L249" s="3823"/>
      <c r="M249" s="3823"/>
      <c r="N249" s="3824"/>
    </row>
    <row r="250" spans="2:14" ht="15.75" hidden="1">
      <c r="B250" s="3819" t="s">
        <v>718</v>
      </c>
      <c r="C250" s="3820"/>
      <c r="D250" s="3820"/>
      <c r="E250" s="3820"/>
      <c r="F250" s="3820"/>
      <c r="G250" s="3820"/>
      <c r="H250" s="3820"/>
      <c r="I250" s="3820"/>
      <c r="J250" s="3820"/>
      <c r="K250" s="3820"/>
      <c r="L250" s="3820"/>
      <c r="M250" s="3820"/>
      <c r="N250" s="3821"/>
    </row>
    <row r="251" spans="2:14" ht="15.75" hidden="1">
      <c r="B251" s="3819" t="s">
        <v>719</v>
      </c>
      <c r="C251" s="3820"/>
      <c r="D251" s="3820"/>
      <c r="E251" s="3820"/>
      <c r="F251" s="3820"/>
      <c r="G251" s="3820"/>
      <c r="H251" s="3820"/>
      <c r="I251" s="3820"/>
      <c r="J251" s="3820"/>
      <c r="K251" s="3820"/>
      <c r="L251" s="3820"/>
      <c r="M251" s="3820"/>
      <c r="N251" s="3821"/>
    </row>
    <row r="252" spans="2:14" ht="15.75" hidden="1">
      <c r="B252" s="3819" t="s">
        <v>720</v>
      </c>
      <c r="C252" s="3820"/>
      <c r="D252" s="3820"/>
      <c r="E252" s="3820"/>
      <c r="F252" s="3820"/>
      <c r="G252" s="3820"/>
      <c r="H252" s="3820"/>
      <c r="I252" s="3820"/>
      <c r="J252" s="3820"/>
      <c r="K252" s="3820"/>
      <c r="L252" s="3820"/>
      <c r="M252" s="3820"/>
      <c r="N252" s="3821"/>
    </row>
    <row r="253" spans="2:14" ht="15.75" hidden="1">
      <c r="B253" s="3819" t="s">
        <v>721</v>
      </c>
      <c r="C253" s="3820"/>
      <c r="D253" s="3820"/>
      <c r="E253" s="3820"/>
      <c r="F253" s="3820"/>
      <c r="G253" s="3820"/>
      <c r="H253" s="3820"/>
      <c r="I253" s="3820"/>
      <c r="J253" s="3820"/>
      <c r="K253" s="3820"/>
      <c r="L253" s="3820"/>
      <c r="M253" s="3820"/>
      <c r="N253" s="3821"/>
    </row>
    <row r="254" spans="2:14" ht="15.75" hidden="1">
      <c r="B254" s="3819" t="s">
        <v>722</v>
      </c>
      <c r="C254" s="3820"/>
      <c r="D254" s="3820"/>
      <c r="E254" s="3820"/>
      <c r="F254" s="3820"/>
      <c r="G254" s="3820"/>
      <c r="H254" s="3820"/>
      <c r="I254" s="3820"/>
      <c r="J254" s="3820"/>
      <c r="K254" s="3820"/>
      <c r="L254" s="3820"/>
      <c r="M254" s="3820"/>
      <c r="N254" s="3821"/>
    </row>
    <row r="255" spans="2:14" ht="15.75" hidden="1">
      <c r="B255" s="3819" t="s">
        <v>723</v>
      </c>
      <c r="C255" s="3820"/>
      <c r="D255" s="3820"/>
      <c r="E255" s="3820"/>
      <c r="F255" s="3820"/>
      <c r="G255" s="3820"/>
      <c r="H255" s="3820"/>
      <c r="I255" s="3820"/>
      <c r="J255" s="3820"/>
      <c r="K255" s="3820"/>
      <c r="L255" s="3820"/>
      <c r="M255" s="3820"/>
      <c r="N255" s="3821"/>
    </row>
    <row r="256" spans="2:14" ht="15.75" hidden="1">
      <c r="B256" s="3819" t="s">
        <v>724</v>
      </c>
      <c r="C256" s="3820"/>
      <c r="D256" s="3820"/>
      <c r="E256" s="3820"/>
      <c r="F256" s="3820"/>
      <c r="G256" s="3820"/>
      <c r="H256" s="3820"/>
      <c r="I256" s="3820"/>
      <c r="J256" s="3820"/>
      <c r="K256" s="3820"/>
      <c r="L256" s="3820"/>
      <c r="M256" s="3820"/>
      <c r="N256" s="3821"/>
    </row>
    <row r="257" spans="2:14" ht="15.75" hidden="1">
      <c r="B257" s="3819" t="s">
        <v>725</v>
      </c>
      <c r="C257" s="3820"/>
      <c r="D257" s="3820"/>
      <c r="E257" s="3820"/>
      <c r="F257" s="3820"/>
      <c r="G257" s="3820"/>
      <c r="H257" s="3820"/>
      <c r="I257" s="3820"/>
      <c r="J257" s="3820"/>
      <c r="K257" s="3820"/>
      <c r="L257" s="3820"/>
      <c r="M257" s="3820"/>
      <c r="N257" s="3821"/>
    </row>
    <row r="258" spans="2:14" ht="15.75" hidden="1">
      <c r="B258" s="1267"/>
      <c r="C258" s="1267"/>
      <c r="D258" s="1267"/>
      <c r="E258" s="1267"/>
      <c r="F258" s="1267"/>
      <c r="G258" s="1267"/>
      <c r="H258" s="1267"/>
      <c r="I258" s="1267"/>
      <c r="J258" s="1267"/>
      <c r="K258" s="1267"/>
      <c r="L258" s="1267"/>
      <c r="M258" s="1267"/>
      <c r="N258" s="1267"/>
    </row>
    <row r="259" spans="2:14" ht="15.75" hidden="1">
      <c r="B259" s="3933" t="s">
        <v>425</v>
      </c>
      <c r="C259" s="3934"/>
      <c r="D259" s="3934"/>
      <c r="E259" s="3934"/>
      <c r="F259" s="3934"/>
      <c r="G259" s="3934"/>
      <c r="H259" s="3934"/>
      <c r="I259" s="3934"/>
      <c r="J259" s="3934"/>
      <c r="K259" s="3934"/>
      <c r="L259" s="3934"/>
      <c r="M259" s="3934"/>
      <c r="N259" s="3935"/>
    </row>
    <row r="260" spans="2:14" ht="15.75" hidden="1">
      <c r="B260" s="3936" t="s">
        <v>726</v>
      </c>
      <c r="C260" s="3937"/>
      <c r="D260" s="3937"/>
      <c r="E260" s="3937"/>
      <c r="F260" s="3937"/>
      <c r="G260" s="3937"/>
      <c r="H260" s="3937"/>
      <c r="I260" s="3937"/>
      <c r="J260" s="3937"/>
      <c r="K260" s="3937"/>
      <c r="L260" s="3937"/>
      <c r="M260" s="3937"/>
      <c r="N260" s="3938"/>
    </row>
    <row r="261" spans="2:14" ht="15.75" hidden="1">
      <c r="B261" s="3936" t="s">
        <v>727</v>
      </c>
      <c r="C261" s="3937"/>
      <c r="D261" s="3937"/>
      <c r="E261" s="3937"/>
      <c r="F261" s="3937"/>
      <c r="G261" s="3937"/>
      <c r="H261" s="3937"/>
      <c r="I261" s="3937"/>
      <c r="J261" s="3937"/>
      <c r="K261" s="3937"/>
      <c r="L261" s="3937"/>
      <c r="M261" s="3937"/>
      <c r="N261" s="3938"/>
    </row>
    <row r="262" spans="2:14" ht="15.75" hidden="1">
      <c r="B262" s="3936" t="s">
        <v>728</v>
      </c>
      <c r="C262" s="3937"/>
      <c r="D262" s="3937"/>
      <c r="E262" s="3937"/>
      <c r="F262" s="3937"/>
      <c r="G262" s="3937"/>
      <c r="H262" s="3937"/>
      <c r="I262" s="3937"/>
      <c r="J262" s="3937"/>
      <c r="K262" s="3937"/>
      <c r="L262" s="3937"/>
      <c r="M262" s="3937"/>
      <c r="N262" s="3938"/>
    </row>
    <row r="263" spans="2:14" ht="15.75" hidden="1">
      <c r="B263" s="3936" t="s">
        <v>729</v>
      </c>
      <c r="C263" s="3937"/>
      <c r="D263" s="3937"/>
      <c r="E263" s="3937"/>
      <c r="F263" s="3937"/>
      <c r="G263" s="3937"/>
      <c r="H263" s="3937"/>
      <c r="I263" s="3937"/>
      <c r="J263" s="3937"/>
      <c r="K263" s="3937"/>
      <c r="L263" s="3937"/>
      <c r="M263" s="3937"/>
      <c r="N263" s="3938"/>
    </row>
    <row r="264" spans="2:14" ht="15.75" hidden="1">
      <c r="B264" s="1267"/>
      <c r="C264" s="1267"/>
      <c r="D264" s="1267"/>
      <c r="E264" s="1267"/>
      <c r="F264" s="1267"/>
      <c r="G264" s="1267"/>
      <c r="H264" s="1267"/>
      <c r="I264" s="1267"/>
      <c r="J264" s="1267"/>
      <c r="K264" s="1267"/>
      <c r="L264" s="1267"/>
      <c r="M264" s="1267"/>
      <c r="N264" s="1267"/>
    </row>
    <row r="265" spans="2:14" ht="15.75" hidden="1">
      <c r="B265" s="3948" t="s">
        <v>431</v>
      </c>
      <c r="C265" s="3949"/>
      <c r="D265" s="3949"/>
      <c r="E265" s="3949"/>
      <c r="F265" s="3949"/>
      <c r="G265" s="3949"/>
      <c r="H265" s="3949"/>
      <c r="I265" s="3949"/>
      <c r="J265" s="3949"/>
      <c r="K265" s="3949"/>
      <c r="L265" s="3949"/>
      <c r="M265" s="3949"/>
      <c r="N265" s="3950"/>
    </row>
    <row r="266" spans="2:14" ht="15.75" hidden="1">
      <c r="B266" s="3939" t="s">
        <v>735</v>
      </c>
      <c r="C266" s="3940"/>
      <c r="D266" s="3940"/>
      <c r="E266" s="3940"/>
      <c r="F266" s="3940"/>
      <c r="G266" s="3940"/>
      <c r="H266" s="3940"/>
      <c r="I266" s="3940"/>
      <c r="J266" s="3940"/>
      <c r="K266" s="3940"/>
      <c r="L266" s="3940"/>
      <c r="M266" s="3940"/>
      <c r="N266" s="3941"/>
    </row>
    <row r="267" spans="2:14" ht="15.75" hidden="1">
      <c r="B267" s="3939" t="s">
        <v>736</v>
      </c>
      <c r="C267" s="3940"/>
      <c r="D267" s="3940"/>
      <c r="E267" s="3940"/>
      <c r="F267" s="3940"/>
      <c r="G267" s="3940"/>
      <c r="H267" s="3940"/>
      <c r="I267" s="3940"/>
      <c r="J267" s="3940"/>
      <c r="K267" s="3940"/>
      <c r="L267" s="3940"/>
      <c r="M267" s="3940"/>
      <c r="N267" s="3941"/>
    </row>
    <row r="268" spans="2:14" ht="15.75" hidden="1">
      <c r="B268" s="3939" t="s">
        <v>737</v>
      </c>
      <c r="C268" s="3940"/>
      <c r="D268" s="3940"/>
      <c r="E268" s="3940"/>
      <c r="F268" s="3940"/>
      <c r="G268" s="3940"/>
      <c r="H268" s="3940"/>
      <c r="I268" s="3940"/>
      <c r="J268" s="3940"/>
      <c r="K268" s="3940"/>
      <c r="L268" s="3940"/>
      <c r="M268" s="3940"/>
      <c r="N268" s="3941"/>
    </row>
    <row r="269" spans="2:14" ht="15.75" hidden="1">
      <c r="B269" s="3939" t="s">
        <v>738</v>
      </c>
      <c r="C269" s="3940"/>
      <c r="D269" s="3940"/>
      <c r="E269" s="3940"/>
      <c r="F269" s="3940"/>
      <c r="G269" s="3940"/>
      <c r="H269" s="3940"/>
      <c r="I269" s="3940"/>
      <c r="J269" s="3940"/>
      <c r="K269" s="3940"/>
      <c r="L269" s="3940"/>
      <c r="M269" s="3940"/>
      <c r="N269" s="3941"/>
    </row>
    <row r="270" spans="2:14" ht="15.75" hidden="1">
      <c r="B270" s="3939" t="s">
        <v>739</v>
      </c>
      <c r="C270" s="3940"/>
      <c r="D270" s="3940"/>
      <c r="E270" s="3940"/>
      <c r="F270" s="3940"/>
      <c r="G270" s="3940"/>
      <c r="H270" s="3940"/>
      <c r="I270" s="3940"/>
      <c r="J270" s="3940"/>
      <c r="K270" s="3940"/>
      <c r="L270" s="3940"/>
      <c r="M270" s="3940"/>
      <c r="N270" s="3941"/>
    </row>
    <row r="271" spans="2:14" ht="15.75" hidden="1">
      <c r="B271" s="3936" t="s">
        <v>740</v>
      </c>
      <c r="C271" s="3937"/>
      <c r="D271" s="3937"/>
      <c r="E271" s="3937"/>
      <c r="F271" s="3937"/>
      <c r="G271" s="3937"/>
      <c r="H271" s="3937"/>
      <c r="I271" s="3937"/>
      <c r="J271" s="3937"/>
      <c r="K271" s="3937"/>
      <c r="L271" s="3937"/>
      <c r="M271" s="3937"/>
      <c r="N271" s="3938"/>
    </row>
    <row r="272" spans="2:14" ht="15.75" hidden="1">
      <c r="B272" s="1267"/>
      <c r="C272" s="1267"/>
      <c r="D272" s="1267"/>
      <c r="E272" s="1267"/>
      <c r="F272" s="1267"/>
      <c r="G272" s="1267"/>
      <c r="H272" s="1267"/>
      <c r="I272" s="1267"/>
      <c r="J272" s="1267"/>
      <c r="K272" s="1267"/>
      <c r="L272" s="1267"/>
      <c r="M272" s="1267"/>
      <c r="N272" s="1267"/>
    </row>
    <row r="273" spans="2:14" ht="16.5" hidden="1" thickBot="1">
      <c r="B273" s="3984" t="s">
        <v>468</v>
      </c>
      <c r="C273" s="3985"/>
      <c r="D273" s="3985"/>
      <c r="E273" s="3985"/>
      <c r="F273" s="3985"/>
      <c r="G273" s="3985"/>
      <c r="H273" s="3985"/>
      <c r="I273" s="3985"/>
      <c r="J273" s="3985"/>
      <c r="K273" s="3985"/>
      <c r="L273" s="3985"/>
      <c r="M273" s="3985"/>
      <c r="N273" s="3986"/>
    </row>
    <row r="274" spans="2:14" ht="15.75" hidden="1">
      <c r="B274" s="3990" t="s">
        <v>741</v>
      </c>
      <c r="C274" s="3991"/>
      <c r="D274" s="3991"/>
      <c r="E274" s="3991"/>
      <c r="F274" s="3991"/>
      <c r="G274" s="3991"/>
      <c r="H274" s="3991"/>
      <c r="I274" s="3991"/>
      <c r="J274" s="3991"/>
      <c r="K274" s="3991"/>
      <c r="L274" s="3991"/>
      <c r="M274" s="3991"/>
      <c r="N274" s="3992"/>
    </row>
    <row r="275" spans="2:14" ht="15.75" hidden="1">
      <c r="B275" s="3939" t="s">
        <v>742</v>
      </c>
      <c r="C275" s="3940"/>
      <c r="D275" s="3940"/>
      <c r="E275" s="3940"/>
      <c r="F275" s="3940"/>
      <c r="G275" s="3940"/>
      <c r="H275" s="3940"/>
      <c r="I275" s="3940"/>
      <c r="J275" s="3940"/>
      <c r="K275" s="3940"/>
      <c r="L275" s="3940"/>
      <c r="M275" s="3940"/>
      <c r="N275" s="3941"/>
    </row>
    <row r="276" spans="2:14" ht="15.75" hidden="1">
      <c r="B276" s="3939" t="s">
        <v>743</v>
      </c>
      <c r="C276" s="3940"/>
      <c r="D276" s="3940"/>
      <c r="E276" s="3940"/>
      <c r="F276" s="3940"/>
      <c r="G276" s="3940"/>
      <c r="H276" s="3940"/>
      <c r="I276" s="3940"/>
      <c r="J276" s="3940"/>
      <c r="K276" s="3940"/>
      <c r="L276" s="3940"/>
      <c r="M276" s="3940"/>
      <c r="N276" s="3941"/>
    </row>
    <row r="277" spans="2:14" ht="15.75" hidden="1">
      <c r="B277" s="3978" t="s">
        <v>744</v>
      </c>
      <c r="C277" s="3979"/>
      <c r="D277" s="3979"/>
      <c r="E277" s="3979"/>
      <c r="F277" s="3979"/>
      <c r="G277" s="3979"/>
      <c r="H277" s="3979"/>
      <c r="I277" s="3979"/>
      <c r="J277" s="3979"/>
      <c r="K277" s="3979"/>
      <c r="L277" s="3979"/>
      <c r="M277" s="3979"/>
      <c r="N277" s="3980"/>
    </row>
    <row r="278" spans="2:14" ht="15.75" hidden="1">
      <c r="B278" s="3978" t="s">
        <v>745</v>
      </c>
      <c r="C278" s="3979"/>
      <c r="D278" s="3979"/>
      <c r="E278" s="3979"/>
      <c r="F278" s="3979"/>
      <c r="G278" s="3979"/>
      <c r="H278" s="3979"/>
      <c r="I278" s="3979"/>
      <c r="J278" s="3979"/>
      <c r="K278" s="3979"/>
      <c r="L278" s="3979"/>
      <c r="M278" s="3979"/>
      <c r="N278" s="3980"/>
    </row>
    <row r="279" spans="2:14" ht="15.75" hidden="1">
      <c r="B279" s="3987" t="s">
        <v>469</v>
      </c>
      <c r="C279" s="3988"/>
      <c r="D279" s="3988"/>
      <c r="E279" s="3988"/>
      <c r="F279" s="3988"/>
      <c r="G279" s="3988"/>
      <c r="H279" s="3988"/>
      <c r="I279" s="3988"/>
      <c r="J279" s="3988"/>
      <c r="K279" s="3988"/>
      <c r="L279" s="3988"/>
      <c r="M279" s="3988"/>
      <c r="N279" s="3989"/>
    </row>
    <row r="280" spans="2:14" ht="15.75" hidden="1">
      <c r="B280" s="3978" t="s">
        <v>746</v>
      </c>
      <c r="C280" s="3979"/>
      <c r="D280" s="3979"/>
      <c r="E280" s="3979"/>
      <c r="F280" s="3979"/>
      <c r="G280" s="3979"/>
      <c r="H280" s="3979"/>
      <c r="I280" s="3979"/>
      <c r="J280" s="3979"/>
      <c r="K280" s="3979"/>
      <c r="L280" s="3979"/>
      <c r="M280" s="3979"/>
      <c r="N280" s="3980"/>
    </row>
    <row r="281" spans="2:14" ht="15.75" hidden="1">
      <c r="B281" s="3978" t="s">
        <v>747</v>
      </c>
      <c r="C281" s="3979"/>
      <c r="D281" s="3979"/>
      <c r="E281" s="3979"/>
      <c r="F281" s="3979"/>
      <c r="G281" s="3979"/>
      <c r="H281" s="3979"/>
      <c r="I281" s="3979"/>
      <c r="J281" s="3979"/>
      <c r="K281" s="3979"/>
      <c r="L281" s="3979"/>
      <c r="M281" s="3979"/>
      <c r="N281" s="3980"/>
    </row>
    <row r="282" spans="2:14" ht="15.75" hidden="1">
      <c r="B282" s="3978" t="s">
        <v>748</v>
      </c>
      <c r="C282" s="3979"/>
      <c r="D282" s="3979"/>
      <c r="E282" s="3979"/>
      <c r="F282" s="3979"/>
      <c r="G282" s="3979"/>
      <c r="H282" s="3979"/>
      <c r="I282" s="3979"/>
      <c r="J282" s="3979"/>
      <c r="K282" s="3979"/>
      <c r="L282" s="3979"/>
      <c r="M282" s="3979"/>
      <c r="N282" s="3980"/>
    </row>
    <row r="283" spans="2:14" ht="15.75" hidden="1">
      <c r="B283" s="3978" t="s">
        <v>749</v>
      </c>
      <c r="C283" s="3979"/>
      <c r="D283" s="3979"/>
      <c r="E283" s="3979"/>
      <c r="F283" s="3979"/>
      <c r="G283" s="3979"/>
      <c r="H283" s="3979"/>
      <c r="I283" s="3979"/>
      <c r="J283" s="3979"/>
      <c r="K283" s="3979"/>
      <c r="L283" s="3979"/>
      <c r="M283" s="3979"/>
      <c r="N283" s="3980"/>
    </row>
    <row r="284" spans="2:14" ht="15.75" hidden="1">
      <c r="B284" s="3981" t="s">
        <v>750</v>
      </c>
      <c r="C284" s="3982"/>
      <c r="D284" s="3982"/>
      <c r="E284" s="3982"/>
      <c r="F284" s="3982"/>
      <c r="G284" s="3982"/>
      <c r="H284" s="3982"/>
      <c r="I284" s="3982"/>
      <c r="J284" s="3982"/>
      <c r="K284" s="3982"/>
      <c r="L284" s="3982"/>
      <c r="M284" s="3982"/>
      <c r="N284" s="3983"/>
    </row>
    <row r="285" spans="2:14" ht="15.75" hidden="1">
      <c r="B285" s="3981" t="s">
        <v>751</v>
      </c>
      <c r="C285" s="3982"/>
      <c r="D285" s="3982"/>
      <c r="E285" s="3982"/>
      <c r="F285" s="3982"/>
      <c r="G285" s="3982"/>
      <c r="H285" s="3982"/>
      <c r="I285" s="3982"/>
      <c r="J285" s="3982"/>
      <c r="K285" s="3982"/>
      <c r="L285" s="3982"/>
      <c r="M285" s="3982"/>
      <c r="N285" s="3983"/>
    </row>
    <row r="286" spans="2:14" ht="15.75" hidden="1">
      <c r="B286" s="3981" t="s">
        <v>752</v>
      </c>
      <c r="C286" s="3982"/>
      <c r="D286" s="3982"/>
      <c r="E286" s="3982"/>
      <c r="F286" s="3982"/>
      <c r="G286" s="3982"/>
      <c r="H286" s="3982"/>
      <c r="I286" s="3982"/>
      <c r="J286" s="3982"/>
      <c r="K286" s="3982"/>
      <c r="L286" s="3982"/>
      <c r="M286" s="3982"/>
      <c r="N286" s="3983"/>
    </row>
    <row r="287" spans="2:14" ht="15.75" hidden="1">
      <c r="B287" s="3981" t="s">
        <v>753</v>
      </c>
      <c r="C287" s="3982"/>
      <c r="D287" s="3982"/>
      <c r="E287" s="3982"/>
      <c r="F287" s="3982"/>
      <c r="G287" s="3982"/>
      <c r="H287" s="3982"/>
      <c r="I287" s="3982"/>
      <c r="J287" s="3982"/>
      <c r="K287" s="3982"/>
      <c r="L287" s="3982"/>
      <c r="M287" s="3982"/>
      <c r="N287" s="3983"/>
    </row>
    <row r="288" spans="2:14" ht="15.75" hidden="1">
      <c r="B288" s="1267"/>
      <c r="C288" s="1267"/>
      <c r="D288" s="1267"/>
      <c r="E288" s="1267"/>
      <c r="F288" s="1267"/>
      <c r="G288" s="1267"/>
      <c r="H288" s="1267"/>
      <c r="I288" s="1267"/>
      <c r="J288" s="1267"/>
      <c r="K288" s="1267"/>
      <c r="L288" s="1267"/>
      <c r="M288" s="1267"/>
      <c r="N288" s="1267"/>
    </row>
    <row r="289" spans="2:14" ht="15.75" hidden="1">
      <c r="B289" s="3975" t="s">
        <v>470</v>
      </c>
      <c r="C289" s="3976"/>
      <c r="D289" s="3976"/>
      <c r="E289" s="3976"/>
      <c r="F289" s="3976"/>
      <c r="G289" s="3976"/>
      <c r="H289" s="3976"/>
      <c r="I289" s="3976"/>
      <c r="J289" s="3976"/>
      <c r="K289" s="3976"/>
      <c r="L289" s="3976"/>
      <c r="M289" s="3976"/>
      <c r="N289" s="3977"/>
    </row>
    <row r="290" spans="2:14" ht="15.75" hidden="1">
      <c r="B290" s="3819" t="s">
        <v>767</v>
      </c>
      <c r="C290" s="3820"/>
      <c r="D290" s="3820"/>
      <c r="E290" s="3820"/>
      <c r="F290" s="3820"/>
      <c r="G290" s="3820"/>
      <c r="H290" s="3820"/>
      <c r="I290" s="3820"/>
      <c r="J290" s="3820"/>
      <c r="K290" s="3820"/>
      <c r="L290" s="3820"/>
      <c r="M290" s="3820"/>
      <c r="N290" s="3821"/>
    </row>
    <row r="291" spans="2:14" ht="15.75" hidden="1">
      <c r="B291" s="3819" t="s">
        <v>768</v>
      </c>
      <c r="C291" s="3820"/>
      <c r="D291" s="3820"/>
      <c r="E291" s="3820"/>
      <c r="F291" s="3820"/>
      <c r="G291" s="3820"/>
      <c r="H291" s="3820"/>
      <c r="I291" s="3820"/>
      <c r="J291" s="3820"/>
      <c r="K291" s="3820"/>
      <c r="L291" s="3820"/>
      <c r="M291" s="3820"/>
      <c r="N291" s="3821"/>
    </row>
    <row r="292" spans="2:14" ht="15.75" hidden="1">
      <c r="B292" s="1267"/>
      <c r="C292" s="1267"/>
      <c r="D292" s="1267"/>
      <c r="E292" s="1267"/>
      <c r="F292" s="1267"/>
      <c r="G292" s="1267"/>
      <c r="H292" s="1267"/>
      <c r="I292" s="1267"/>
      <c r="J292" s="1267"/>
      <c r="K292" s="1267"/>
      <c r="L292" s="1267"/>
      <c r="M292" s="1267"/>
      <c r="N292" s="1267"/>
    </row>
    <row r="293" spans="2:14" ht="15.75" hidden="1">
      <c r="B293" s="3933" t="s">
        <v>471</v>
      </c>
      <c r="C293" s="3934"/>
      <c r="D293" s="3934"/>
      <c r="E293" s="3934"/>
      <c r="F293" s="3934"/>
      <c r="G293" s="3934"/>
      <c r="H293" s="3934"/>
      <c r="I293" s="3934"/>
      <c r="J293" s="3934"/>
      <c r="K293" s="3934"/>
      <c r="L293" s="3934"/>
      <c r="M293" s="3934"/>
      <c r="N293" s="3935"/>
    </row>
    <row r="294" spans="2:14" ht="15.75" hidden="1">
      <c r="B294" s="3936" t="s">
        <v>769</v>
      </c>
      <c r="C294" s="3937"/>
      <c r="D294" s="3937"/>
      <c r="E294" s="3937"/>
      <c r="F294" s="3937"/>
      <c r="G294" s="3937"/>
      <c r="H294" s="3937"/>
      <c r="I294" s="3937"/>
      <c r="J294" s="3937"/>
      <c r="K294" s="3937"/>
      <c r="L294" s="3937"/>
      <c r="M294" s="3937"/>
      <c r="N294" s="3938"/>
    </row>
    <row r="295" spans="2:14" ht="15.75" hidden="1">
      <c r="B295" s="3936" t="s">
        <v>770</v>
      </c>
      <c r="C295" s="3937"/>
      <c r="D295" s="3937"/>
      <c r="E295" s="3937"/>
      <c r="F295" s="3937"/>
      <c r="G295" s="3937"/>
      <c r="H295" s="3937"/>
      <c r="I295" s="3937"/>
      <c r="J295" s="3937"/>
      <c r="K295" s="3937"/>
      <c r="L295" s="3937"/>
      <c r="M295" s="3937"/>
      <c r="N295" s="3938"/>
    </row>
    <row r="296" spans="2:14" ht="15.75" hidden="1">
      <c r="B296" s="3936" t="s">
        <v>771</v>
      </c>
      <c r="C296" s="3937"/>
      <c r="D296" s="3937"/>
      <c r="E296" s="3937"/>
      <c r="F296" s="3937"/>
      <c r="G296" s="3937"/>
      <c r="H296" s="3937"/>
      <c r="I296" s="3937"/>
      <c r="J296" s="3937"/>
      <c r="K296" s="3937"/>
      <c r="L296" s="3937"/>
      <c r="M296" s="3937"/>
      <c r="N296" s="3938"/>
    </row>
    <row r="297" spans="2:14" ht="15.75" hidden="1">
      <c r="B297" s="1319" t="s">
        <v>772</v>
      </c>
      <c r="C297" s="1320"/>
      <c r="D297" s="1320"/>
      <c r="E297" s="1320"/>
      <c r="F297" s="1320"/>
      <c r="G297" s="1320"/>
      <c r="H297" s="1320"/>
      <c r="I297" s="1320"/>
      <c r="J297" s="1320"/>
      <c r="K297" s="1320"/>
      <c r="L297" s="1320"/>
      <c r="M297" s="1320"/>
      <c r="N297" s="1321"/>
    </row>
    <row r="298" spans="2:14" ht="15.75" hidden="1">
      <c r="B298" s="1319" t="s">
        <v>773</v>
      </c>
      <c r="C298" s="1320"/>
      <c r="D298" s="1320"/>
      <c r="E298" s="1320"/>
      <c r="F298" s="1320"/>
      <c r="G298" s="1320"/>
      <c r="H298" s="1320"/>
      <c r="I298" s="1320"/>
      <c r="J298" s="1320"/>
      <c r="K298" s="1320"/>
      <c r="L298" s="1320"/>
      <c r="M298" s="1320"/>
      <c r="N298" s="1321"/>
    </row>
    <row r="299" spans="2:14" ht="15.75" hidden="1">
      <c r="B299" s="3936" t="s">
        <v>774</v>
      </c>
      <c r="C299" s="3937"/>
      <c r="D299" s="3937"/>
      <c r="E299" s="3937"/>
      <c r="F299" s="3937"/>
      <c r="G299" s="3937"/>
      <c r="H299" s="3937"/>
      <c r="I299" s="3937"/>
      <c r="J299" s="3937"/>
      <c r="K299" s="3937"/>
      <c r="L299" s="3937"/>
      <c r="M299" s="3937"/>
      <c r="N299" s="3938"/>
    </row>
    <row r="300" spans="2:14" ht="16.5" thickBot="1">
      <c r="B300" s="3798" t="s">
        <v>519</v>
      </c>
      <c r="C300" s="3799"/>
      <c r="D300" s="3799"/>
      <c r="E300" s="3799"/>
      <c r="F300" s="3799"/>
      <c r="G300" s="3799"/>
      <c r="H300" s="3799"/>
      <c r="I300" s="3799"/>
      <c r="J300" s="3799"/>
      <c r="K300" s="3799"/>
      <c r="L300" s="3799"/>
      <c r="M300" s="3799"/>
      <c r="N300" s="3800"/>
    </row>
    <row r="301" spans="2:14" ht="26.25">
      <c r="B301" s="3801" t="s">
        <v>520</v>
      </c>
      <c r="C301" s="3802"/>
      <c r="D301" s="3802"/>
      <c r="E301" s="3802"/>
      <c r="F301" s="3802"/>
      <c r="G301" s="3802"/>
      <c r="H301" s="3802"/>
      <c r="I301" s="3802"/>
      <c r="J301" s="3802"/>
      <c r="K301" s="3802"/>
      <c r="L301" s="3802"/>
      <c r="M301" s="3802"/>
      <c r="N301" s="3803"/>
    </row>
    <row r="302" spans="2:14" ht="16.5" thickBot="1">
      <c r="B302" s="3804" t="s">
        <v>405</v>
      </c>
      <c r="C302" s="3805"/>
      <c r="D302" s="3805"/>
      <c r="E302" s="3805"/>
      <c r="F302" s="3805"/>
      <c r="G302" s="3805"/>
      <c r="H302" s="3805"/>
      <c r="I302" s="3805"/>
      <c r="J302" s="3805"/>
      <c r="K302" s="3805"/>
      <c r="L302" s="3805"/>
      <c r="M302" s="3805"/>
      <c r="N302" s="3806"/>
    </row>
    <row r="303" spans="2:14" ht="15">
      <c r="B303" s="3807" t="s">
        <v>786</v>
      </c>
      <c r="C303" s="3808"/>
      <c r="D303" s="3808"/>
      <c r="E303" s="3808"/>
      <c r="F303" s="3808"/>
      <c r="G303" s="3808"/>
      <c r="H303" s="3808"/>
      <c r="I303" s="3808"/>
      <c r="J303" s="3808"/>
      <c r="K303" s="3808"/>
      <c r="L303" s="3808"/>
      <c r="M303" s="3808"/>
      <c r="N303" s="3809"/>
    </row>
    <row r="304" spans="2:14" ht="15">
      <c r="B304" s="3810" t="s">
        <v>787</v>
      </c>
      <c r="C304" s="3811"/>
      <c r="D304" s="3811"/>
      <c r="E304" s="3811"/>
      <c r="F304" s="3811"/>
      <c r="G304" s="3811"/>
      <c r="H304" s="3811"/>
      <c r="I304" s="3811"/>
      <c r="J304" s="3811"/>
      <c r="K304" s="3811"/>
      <c r="L304" s="3811"/>
      <c r="M304" s="3811"/>
      <c r="N304" s="3812"/>
    </row>
    <row r="305" spans="2:14" ht="15">
      <c r="B305" s="3810" t="s">
        <v>788</v>
      </c>
      <c r="C305" s="3811"/>
      <c r="D305" s="3811"/>
      <c r="E305" s="3811"/>
      <c r="F305" s="3811"/>
      <c r="G305" s="3811"/>
      <c r="H305" s="3811"/>
      <c r="I305" s="3811"/>
      <c r="J305" s="3811"/>
      <c r="K305" s="3811"/>
      <c r="L305" s="3811"/>
      <c r="M305" s="3811"/>
      <c r="N305" s="3812"/>
    </row>
    <row r="306" spans="2:14" ht="15">
      <c r="B306" s="3813" t="s">
        <v>789</v>
      </c>
      <c r="C306" s="3814"/>
      <c r="D306" s="3814"/>
      <c r="E306" s="3814"/>
      <c r="F306" s="3814"/>
      <c r="G306" s="3814"/>
      <c r="H306" s="3814"/>
      <c r="I306" s="3814"/>
      <c r="J306" s="3814"/>
      <c r="K306" s="3814"/>
      <c r="L306" s="3814"/>
      <c r="M306" s="3814"/>
      <c r="N306" s="3815"/>
    </row>
    <row r="307" spans="2:14" ht="15">
      <c r="B307" s="3813" t="s">
        <v>790</v>
      </c>
      <c r="C307" s="3814"/>
      <c r="D307" s="3814"/>
      <c r="E307" s="3814"/>
      <c r="F307" s="3814"/>
      <c r="G307" s="3814"/>
      <c r="H307" s="3814"/>
      <c r="I307" s="3814"/>
      <c r="J307" s="3814"/>
      <c r="K307" s="3814"/>
      <c r="L307" s="3814"/>
      <c r="M307" s="3814"/>
      <c r="N307" s="3815"/>
    </row>
    <row r="308" spans="2:14" ht="15">
      <c r="B308" s="3816"/>
      <c r="C308" s="3817"/>
      <c r="D308" s="3817"/>
      <c r="E308" s="3817"/>
      <c r="F308" s="3817"/>
      <c r="G308" s="3817"/>
      <c r="H308" s="3817"/>
      <c r="I308" s="3817"/>
      <c r="J308" s="3817"/>
      <c r="K308" s="3817"/>
      <c r="L308" s="3817"/>
      <c r="M308" s="3817"/>
      <c r="N308" s="3818"/>
    </row>
    <row r="309" spans="2:14" ht="15.75">
      <c r="B309" s="3795" t="s">
        <v>406</v>
      </c>
      <c r="C309" s="3796"/>
      <c r="D309" s="3796"/>
      <c r="E309" s="3796"/>
      <c r="F309" s="3796"/>
      <c r="G309" s="3796"/>
      <c r="H309" s="3796"/>
      <c r="I309" s="3796"/>
      <c r="J309" s="3796"/>
      <c r="K309" s="3796"/>
      <c r="L309" s="3796"/>
      <c r="M309" s="3796"/>
      <c r="N309" s="3797"/>
    </row>
    <row r="310" spans="2:14" ht="15">
      <c r="B310" s="3785"/>
      <c r="C310" s="3786"/>
      <c r="D310" s="3786"/>
      <c r="E310" s="3786"/>
      <c r="F310" s="3786"/>
      <c r="G310" s="3786"/>
      <c r="H310" s="3786"/>
      <c r="I310" s="3786"/>
      <c r="J310" s="3786"/>
      <c r="K310" s="3786"/>
      <c r="L310" s="3786"/>
      <c r="M310" s="3786"/>
      <c r="N310" s="3787"/>
    </row>
    <row r="311" spans="2:14" ht="15" hidden="1">
      <c r="B311" s="3785"/>
      <c r="C311" s="3786"/>
      <c r="D311" s="3786"/>
      <c r="E311" s="3786"/>
      <c r="F311" s="3786"/>
      <c r="G311" s="3786"/>
      <c r="H311" s="3786"/>
      <c r="I311" s="3786"/>
      <c r="J311" s="3786"/>
      <c r="K311" s="3786"/>
      <c r="L311" s="3786"/>
      <c r="M311" s="3786"/>
      <c r="N311" s="3787"/>
    </row>
    <row r="312" spans="2:14" ht="15" hidden="1">
      <c r="B312" s="3785"/>
      <c r="C312" s="3786"/>
      <c r="D312" s="3786"/>
      <c r="E312" s="3786"/>
      <c r="F312" s="3786"/>
      <c r="G312" s="3786"/>
      <c r="H312" s="3786"/>
      <c r="I312" s="3786"/>
      <c r="J312" s="3786"/>
      <c r="K312" s="3786"/>
      <c r="L312" s="3786"/>
      <c r="M312" s="3786"/>
      <c r="N312" s="3787"/>
    </row>
    <row r="313" spans="2:14" ht="15" hidden="1">
      <c r="B313" s="3785"/>
      <c r="C313" s="3786"/>
      <c r="D313" s="3786"/>
      <c r="E313" s="3786"/>
      <c r="F313" s="3786"/>
      <c r="G313" s="3786"/>
      <c r="H313" s="3786"/>
      <c r="I313" s="3786"/>
      <c r="J313" s="3786"/>
      <c r="K313" s="3786"/>
      <c r="L313" s="3786"/>
      <c r="M313" s="3786"/>
      <c r="N313" s="3787"/>
    </row>
    <row r="314" spans="2:14" ht="15" hidden="1">
      <c r="B314" s="3785"/>
      <c r="C314" s="3786"/>
      <c r="D314" s="3786"/>
      <c r="E314" s="3786"/>
      <c r="F314" s="3786"/>
      <c r="G314" s="3786"/>
      <c r="H314" s="3786"/>
      <c r="I314" s="3786"/>
      <c r="J314" s="3786"/>
      <c r="K314" s="3786"/>
      <c r="L314" s="3786"/>
      <c r="M314" s="3786"/>
      <c r="N314" s="3787"/>
    </row>
    <row r="315" spans="2:14" ht="15" hidden="1">
      <c r="B315" s="3785"/>
      <c r="C315" s="3786"/>
      <c r="D315" s="3786"/>
      <c r="E315" s="3786"/>
      <c r="F315" s="3786"/>
      <c r="G315" s="3786"/>
      <c r="H315" s="3786"/>
      <c r="I315" s="3786"/>
      <c r="J315" s="3786"/>
      <c r="K315" s="3786"/>
      <c r="L315" s="3786"/>
      <c r="M315" s="3786"/>
      <c r="N315" s="3787"/>
    </row>
    <row r="316" spans="2:14" ht="15" hidden="1">
      <c r="B316" s="3785"/>
      <c r="C316" s="3786"/>
      <c r="D316" s="3786"/>
      <c r="E316" s="3786"/>
      <c r="F316" s="3786"/>
      <c r="G316" s="3786"/>
      <c r="H316" s="3786"/>
      <c r="I316" s="3786"/>
      <c r="J316" s="3786"/>
      <c r="K316" s="3786"/>
      <c r="L316" s="3786"/>
      <c r="M316" s="3786"/>
      <c r="N316" s="3787"/>
    </row>
    <row r="317" spans="2:14" ht="15" hidden="1">
      <c r="B317" s="3785"/>
      <c r="C317" s="3786"/>
      <c r="D317" s="3786"/>
      <c r="E317" s="3786"/>
      <c r="F317" s="3786"/>
      <c r="G317" s="3786"/>
      <c r="H317" s="3786"/>
      <c r="I317" s="3786"/>
      <c r="J317" s="3786"/>
      <c r="K317" s="3786"/>
      <c r="L317" s="3786"/>
      <c r="M317" s="3786"/>
      <c r="N317" s="3787"/>
    </row>
    <row r="318" spans="2:14" ht="15" hidden="1">
      <c r="B318" s="3785"/>
      <c r="C318" s="3786"/>
      <c r="D318" s="3786"/>
      <c r="E318" s="3786"/>
      <c r="F318" s="3786"/>
      <c r="G318" s="3786"/>
      <c r="H318" s="3786"/>
      <c r="I318" s="3786"/>
      <c r="J318" s="3786"/>
      <c r="K318" s="3786"/>
      <c r="L318" s="3786"/>
      <c r="M318" s="3786"/>
      <c r="N318" s="3787"/>
    </row>
    <row r="319" spans="2:14" ht="15" hidden="1">
      <c r="B319" s="3785"/>
      <c r="C319" s="3786"/>
      <c r="D319" s="3786"/>
      <c r="E319" s="3786"/>
      <c r="F319" s="3786"/>
      <c r="G319" s="3786"/>
      <c r="H319" s="3786"/>
      <c r="I319" s="3786"/>
      <c r="J319" s="3786"/>
      <c r="K319" s="3786"/>
      <c r="L319" s="3786"/>
      <c r="M319" s="3786"/>
      <c r="N319" s="3787"/>
    </row>
    <row r="320" spans="2:14" ht="15">
      <c r="B320" s="3788"/>
      <c r="C320" s="3788"/>
      <c r="D320" s="3788"/>
      <c r="E320" s="3788"/>
      <c r="F320" s="3788"/>
      <c r="G320" s="3788"/>
      <c r="H320" s="3788"/>
      <c r="I320" s="3788"/>
      <c r="J320" s="3788"/>
      <c r="K320" s="3788"/>
      <c r="L320" s="3788"/>
      <c r="M320" s="3788"/>
      <c r="N320" s="3788"/>
    </row>
    <row r="321" spans="2:14" ht="16.5" thickBot="1">
      <c r="B321" s="3789" t="s">
        <v>407</v>
      </c>
      <c r="C321" s="3790"/>
      <c r="D321" s="3790"/>
      <c r="E321" s="3790"/>
      <c r="F321" s="3790"/>
      <c r="G321" s="3790"/>
      <c r="H321" s="3790"/>
      <c r="I321" s="3790"/>
      <c r="J321" s="3790"/>
      <c r="K321" s="3790"/>
      <c r="L321" s="3790"/>
      <c r="M321" s="3790"/>
      <c r="N321" s="3791"/>
    </row>
    <row r="322" spans="2:14" ht="15">
      <c r="B322" s="3709" t="s">
        <v>791</v>
      </c>
      <c r="C322" s="3710"/>
      <c r="D322" s="3710"/>
      <c r="E322" s="3710"/>
      <c r="F322" s="3710"/>
      <c r="G322" s="3710"/>
      <c r="H322" s="3710"/>
      <c r="I322" s="3710"/>
      <c r="J322" s="3710"/>
      <c r="K322" s="3710"/>
      <c r="L322" s="3710"/>
      <c r="M322" s="3710"/>
      <c r="N322" s="3711"/>
    </row>
    <row r="323" spans="2:14" ht="15">
      <c r="B323" s="3712" t="s">
        <v>792</v>
      </c>
      <c r="C323" s="3713"/>
      <c r="D323" s="3713"/>
      <c r="E323" s="3713"/>
      <c r="F323" s="3713"/>
      <c r="G323" s="3713"/>
      <c r="H323" s="3713"/>
      <c r="I323" s="3713"/>
      <c r="J323" s="3713"/>
      <c r="K323" s="3713"/>
      <c r="L323" s="3713"/>
      <c r="M323" s="3713"/>
      <c r="N323" s="3724"/>
    </row>
    <row r="324" spans="2:14" ht="15.75" thickBot="1">
      <c r="B324" s="671"/>
      <c r="C324" s="671"/>
      <c r="D324" s="671"/>
      <c r="E324" s="671"/>
      <c r="F324" s="671"/>
      <c r="G324" s="671"/>
      <c r="H324" s="671"/>
      <c r="I324" s="671"/>
      <c r="J324" s="671"/>
      <c r="K324" s="671"/>
      <c r="L324" s="671"/>
      <c r="M324" s="671"/>
      <c r="N324" s="671"/>
    </row>
    <row r="325" spans="2:14" ht="15.75">
      <c r="B325" s="3753" t="s">
        <v>408</v>
      </c>
      <c r="C325" s="3754"/>
      <c r="D325" s="3754"/>
      <c r="E325" s="3754"/>
      <c r="F325" s="3754"/>
      <c r="G325" s="3754"/>
      <c r="H325" s="3754"/>
      <c r="I325" s="3754"/>
      <c r="J325" s="3754"/>
      <c r="K325" s="3754"/>
      <c r="L325" s="3754"/>
      <c r="M325" s="3754"/>
      <c r="N325" s="3755"/>
    </row>
    <row r="326" spans="2:14" ht="15">
      <c r="B326" s="3792" t="s">
        <v>793</v>
      </c>
      <c r="C326" s="3793"/>
      <c r="D326" s="3793"/>
      <c r="E326" s="3793"/>
      <c r="F326" s="3793"/>
      <c r="G326" s="3793"/>
      <c r="H326" s="3793"/>
      <c r="I326" s="3793"/>
      <c r="J326" s="3793"/>
      <c r="K326" s="3793"/>
      <c r="L326" s="3793"/>
      <c r="M326" s="3793"/>
      <c r="N326" s="3794"/>
    </row>
    <row r="327" spans="2:14" ht="15">
      <c r="B327" s="3792"/>
      <c r="C327" s="3793"/>
      <c r="D327" s="3793"/>
      <c r="E327" s="3793"/>
      <c r="F327" s="3793"/>
      <c r="G327" s="3793"/>
      <c r="H327" s="3793"/>
      <c r="I327" s="3793"/>
      <c r="J327" s="3793"/>
      <c r="K327" s="3793"/>
      <c r="L327" s="3793"/>
      <c r="M327" s="3793"/>
      <c r="N327" s="3794"/>
    </row>
    <row r="328" spans="2:14" ht="15.75" thickBot="1">
      <c r="B328" s="3756"/>
      <c r="C328" s="3757"/>
      <c r="D328" s="3757"/>
      <c r="E328" s="3757"/>
      <c r="F328" s="3757"/>
      <c r="G328" s="3757"/>
      <c r="H328" s="3757"/>
      <c r="I328" s="3757"/>
      <c r="J328" s="3757"/>
      <c r="K328" s="3757"/>
      <c r="L328" s="3757"/>
      <c r="M328" s="3757"/>
      <c r="N328" s="3758"/>
    </row>
    <row r="329" spans="2:14" ht="15">
      <c r="B329" s="1364"/>
      <c r="C329" s="1365"/>
      <c r="D329" s="1365"/>
      <c r="E329" s="1365"/>
      <c r="F329" s="1365"/>
      <c r="G329" s="1365"/>
      <c r="H329" s="1365"/>
      <c r="I329" s="1365"/>
      <c r="J329" s="1365"/>
      <c r="K329" s="1365"/>
      <c r="L329" s="1365"/>
      <c r="M329" s="1365"/>
      <c r="N329" s="1366"/>
    </row>
    <row r="330" spans="2:14" ht="15.75">
      <c r="B330" s="3759" t="s">
        <v>409</v>
      </c>
      <c r="C330" s="3760"/>
      <c r="D330" s="3760"/>
      <c r="E330" s="3760"/>
      <c r="F330" s="3760"/>
      <c r="G330" s="3760"/>
      <c r="H330" s="3760"/>
      <c r="I330" s="3760"/>
      <c r="J330" s="3760"/>
      <c r="K330" s="3760"/>
      <c r="L330" s="3760"/>
      <c r="M330" s="3760"/>
      <c r="N330" s="3761"/>
    </row>
    <row r="331" spans="2:14" ht="15">
      <c r="B331" s="3762" t="s">
        <v>841</v>
      </c>
      <c r="C331" s="3762"/>
      <c r="D331" s="3762"/>
      <c r="E331" s="3762"/>
      <c r="F331" s="3762"/>
      <c r="G331" s="3762"/>
      <c r="H331" s="3762"/>
      <c r="I331" s="3762"/>
      <c r="J331" s="3762"/>
      <c r="K331" s="3762"/>
      <c r="L331" s="3762"/>
      <c r="M331" s="3762"/>
      <c r="N331" s="3762"/>
    </row>
    <row r="332" spans="2:14" ht="15">
      <c r="B332" s="3762"/>
      <c r="C332" s="3762"/>
      <c r="D332" s="3762"/>
      <c r="E332" s="3762"/>
      <c r="F332" s="3762"/>
      <c r="G332" s="3762"/>
      <c r="H332" s="3762"/>
      <c r="I332" s="3762"/>
      <c r="J332" s="3762"/>
      <c r="K332" s="3762"/>
      <c r="L332" s="3762"/>
      <c r="M332" s="3762"/>
      <c r="N332" s="3762"/>
    </row>
    <row r="333" spans="2:14" ht="15">
      <c r="B333" s="3762"/>
      <c r="C333" s="3762"/>
      <c r="D333" s="3762"/>
      <c r="E333" s="3762"/>
      <c r="F333" s="3762"/>
      <c r="G333" s="3762"/>
      <c r="H333" s="3762"/>
      <c r="I333" s="3762"/>
      <c r="J333" s="3762"/>
      <c r="K333" s="3762"/>
      <c r="L333" s="3762"/>
      <c r="M333" s="3762"/>
      <c r="N333" s="3762"/>
    </row>
    <row r="334" spans="2:14">
      <c r="B334" s="2713"/>
      <c r="C334" s="2713"/>
      <c r="D334" s="2713"/>
      <c r="E334" s="2713"/>
      <c r="F334" s="2713"/>
      <c r="G334" s="2713"/>
      <c r="H334" s="2713"/>
      <c r="I334" s="2713"/>
      <c r="J334" s="2713"/>
      <c r="K334" s="2713"/>
      <c r="L334" s="2713"/>
      <c r="M334" s="2713"/>
      <c r="N334" s="2713"/>
    </row>
    <row r="335" spans="2:14" ht="15.75">
      <c r="B335" s="3721" t="s">
        <v>420</v>
      </c>
      <c r="C335" s="3722"/>
      <c r="D335" s="3722"/>
      <c r="E335" s="3722"/>
      <c r="F335" s="3722"/>
      <c r="G335" s="3722"/>
      <c r="H335" s="3722"/>
      <c r="I335" s="3722"/>
      <c r="J335" s="3722"/>
      <c r="K335" s="3722"/>
      <c r="L335" s="3722"/>
      <c r="M335" s="3722"/>
      <c r="N335" s="3723"/>
    </row>
    <row r="336" spans="2:14" ht="15.75" customHeight="1">
      <c r="B336" s="3762" t="s">
        <v>870</v>
      </c>
      <c r="C336" s="3762"/>
      <c r="D336" s="3762"/>
      <c r="E336" s="3762"/>
      <c r="F336" s="3762"/>
      <c r="G336" s="3762"/>
      <c r="H336" s="3762"/>
      <c r="I336" s="3762"/>
      <c r="J336" s="3762"/>
      <c r="K336" s="3762"/>
      <c r="L336" s="3762"/>
      <c r="M336" s="3762"/>
      <c r="N336" s="3762"/>
    </row>
    <row r="337" spans="2:14" ht="15" customHeight="1">
      <c r="B337" s="3762" t="s">
        <v>871</v>
      </c>
      <c r="C337" s="3762"/>
      <c r="D337" s="3762"/>
      <c r="E337" s="3762"/>
      <c r="F337" s="3762"/>
      <c r="G337" s="3762"/>
      <c r="H337" s="3762"/>
      <c r="I337" s="3762"/>
      <c r="J337" s="3762"/>
      <c r="K337" s="3762"/>
      <c r="L337" s="3762"/>
      <c r="M337" s="3762"/>
      <c r="N337" s="3762"/>
    </row>
    <row r="338" spans="2:14" ht="15.75" customHeight="1">
      <c r="B338" s="3762" t="s">
        <v>872</v>
      </c>
      <c r="C338" s="3762"/>
      <c r="D338" s="3762"/>
      <c r="E338" s="3762"/>
      <c r="F338" s="3762"/>
      <c r="G338" s="3762"/>
      <c r="H338" s="3762"/>
      <c r="I338" s="3762"/>
      <c r="J338" s="3762"/>
      <c r="K338" s="3762"/>
      <c r="L338" s="3762"/>
      <c r="M338" s="3762"/>
      <c r="N338" s="3762"/>
    </row>
    <row r="339" spans="2:14" ht="15" customHeight="1">
      <c r="B339" s="3762" t="s">
        <v>873</v>
      </c>
      <c r="C339" s="3762"/>
      <c r="D339" s="3762"/>
      <c r="E339" s="3762"/>
      <c r="F339" s="3762"/>
      <c r="G339" s="3762"/>
      <c r="H339" s="3762"/>
      <c r="I339" s="3762"/>
      <c r="J339" s="3762"/>
      <c r="K339" s="3762"/>
      <c r="L339" s="3762"/>
      <c r="M339" s="3762"/>
      <c r="N339" s="3762"/>
    </row>
    <row r="340" spans="2:14" ht="16.5" customHeight="1">
      <c r="B340" s="3762" t="s">
        <v>874</v>
      </c>
      <c r="C340" s="3762"/>
      <c r="D340" s="3762"/>
      <c r="E340" s="3762"/>
      <c r="F340" s="3762"/>
      <c r="G340" s="3762"/>
      <c r="H340" s="3762"/>
      <c r="I340" s="3762"/>
      <c r="J340" s="3762"/>
      <c r="K340" s="3762"/>
      <c r="L340" s="3762"/>
      <c r="M340" s="3762"/>
      <c r="N340" s="3762"/>
    </row>
    <row r="341" spans="2:14" ht="12.75" customHeight="1">
      <c r="B341" s="3762" t="s">
        <v>875</v>
      </c>
      <c r="C341" s="3762"/>
      <c r="D341" s="3762"/>
      <c r="E341" s="3762"/>
      <c r="F341" s="3762"/>
      <c r="G341" s="3762"/>
      <c r="H341" s="3762"/>
      <c r="I341" s="3762"/>
      <c r="J341" s="3762"/>
      <c r="K341" s="3762"/>
      <c r="L341" s="3762"/>
      <c r="M341" s="3762"/>
      <c r="N341" s="3762"/>
    </row>
    <row r="342" spans="2:14" ht="12.75" customHeight="1">
      <c r="B342" s="2756"/>
      <c r="C342" s="2757"/>
      <c r="D342" s="2757"/>
      <c r="E342" s="2757"/>
      <c r="F342" s="2757"/>
      <c r="G342" s="2757"/>
      <c r="H342" s="2757"/>
      <c r="I342" s="2757"/>
      <c r="J342" s="2757"/>
      <c r="K342" s="2757"/>
      <c r="L342" s="2757"/>
      <c r="M342" s="2757"/>
      <c r="N342" s="2757"/>
    </row>
    <row r="343" spans="2:14" ht="12.75" customHeight="1" thickBot="1">
      <c r="B343" s="3861" t="s">
        <v>425</v>
      </c>
      <c r="C343" s="3862"/>
      <c r="D343" s="3862"/>
      <c r="E343" s="3862"/>
      <c r="F343" s="3862"/>
      <c r="G343" s="3862"/>
      <c r="H343" s="3862"/>
      <c r="I343" s="3862"/>
      <c r="J343" s="3862"/>
      <c r="K343" s="3862"/>
      <c r="L343" s="3862"/>
      <c r="M343" s="3862"/>
      <c r="N343" s="3863"/>
    </row>
    <row r="344" spans="2:14" ht="15.75" customHeight="1">
      <c r="B344" s="3709"/>
      <c r="C344" s="3710"/>
      <c r="D344" s="3710"/>
      <c r="E344" s="3710"/>
      <c r="F344" s="3710"/>
      <c r="G344" s="3710"/>
      <c r="H344" s="3710"/>
      <c r="I344" s="3710"/>
      <c r="J344" s="3710"/>
      <c r="K344" s="3710"/>
      <c r="L344" s="3710"/>
      <c r="M344" s="3710"/>
      <c r="N344" s="3711"/>
    </row>
    <row r="345" spans="2:14" ht="15" customHeight="1">
      <c r="B345" s="3712"/>
      <c r="C345" s="3713"/>
      <c r="D345" s="3713"/>
      <c r="E345" s="3713"/>
      <c r="F345" s="3713"/>
      <c r="G345" s="3713"/>
      <c r="H345" s="3713"/>
      <c r="I345" s="3713"/>
      <c r="J345" s="3713"/>
      <c r="K345" s="3713"/>
      <c r="L345" s="3713"/>
      <c r="M345" s="3713"/>
      <c r="N345" s="3714"/>
    </row>
    <row r="346" spans="2:14" ht="16.5" customHeight="1">
      <c r="B346" s="3715"/>
      <c r="C346" s="3716"/>
      <c r="D346" s="3716"/>
      <c r="E346" s="3716"/>
      <c r="F346" s="3716"/>
      <c r="G346" s="3716"/>
      <c r="H346" s="3716"/>
      <c r="I346" s="3716"/>
      <c r="J346" s="3716"/>
      <c r="K346" s="3716"/>
      <c r="L346" s="3716"/>
      <c r="M346" s="3716"/>
      <c r="N346" s="3717"/>
    </row>
    <row r="347" spans="2:14" ht="12.75" customHeight="1" thickBot="1">
      <c r="B347" s="3718"/>
      <c r="C347" s="3719"/>
      <c r="D347" s="3719"/>
      <c r="E347" s="3719"/>
      <c r="F347" s="3719"/>
      <c r="G347" s="3719"/>
      <c r="H347" s="3719"/>
      <c r="I347" s="3719"/>
      <c r="J347" s="3719"/>
      <c r="K347" s="3719"/>
      <c r="L347" s="3719"/>
      <c r="M347" s="3719"/>
      <c r="N347" s="3720"/>
    </row>
    <row r="348" spans="2:14" ht="12.75" customHeight="1">
      <c r="B348" s="3788"/>
      <c r="C348" s="3788"/>
      <c r="D348" s="3788"/>
      <c r="E348" s="3788"/>
      <c r="F348" s="3788"/>
      <c r="G348" s="3788"/>
      <c r="H348" s="3788"/>
      <c r="I348" s="3788"/>
      <c r="J348" s="3788"/>
      <c r="K348" s="3788"/>
      <c r="L348" s="3788"/>
      <c r="M348" s="3788"/>
      <c r="N348" s="3788"/>
    </row>
    <row r="349" spans="2:14" ht="12.75" customHeight="1" thickBot="1">
      <c r="B349" s="3795" t="s">
        <v>431</v>
      </c>
      <c r="C349" s="3796"/>
      <c r="D349" s="3796"/>
      <c r="E349" s="3796"/>
      <c r="F349" s="3796"/>
      <c r="G349" s="3796"/>
      <c r="H349" s="3796"/>
      <c r="I349" s="3796"/>
      <c r="J349" s="3796"/>
      <c r="K349" s="3796"/>
      <c r="L349" s="3796"/>
      <c r="M349" s="3796"/>
      <c r="N349" s="3797"/>
    </row>
    <row r="350" spans="2:14" ht="12.75" customHeight="1">
      <c r="B350" s="3782" t="s">
        <v>876</v>
      </c>
      <c r="C350" s="3783"/>
      <c r="D350" s="3783"/>
      <c r="E350" s="3783"/>
      <c r="F350" s="3783"/>
      <c r="G350" s="3783"/>
      <c r="H350" s="3783"/>
      <c r="I350" s="3783"/>
      <c r="J350" s="3783"/>
      <c r="K350" s="3783"/>
      <c r="L350" s="3783"/>
      <c r="M350" s="3783"/>
      <c r="N350" s="3784"/>
    </row>
    <row r="351" spans="2:14" ht="12.75" customHeight="1">
      <c r="B351" s="3712" t="s">
        <v>877</v>
      </c>
      <c r="C351" s="3713"/>
      <c r="D351" s="3713"/>
      <c r="E351" s="3713"/>
      <c r="F351" s="3713"/>
      <c r="G351" s="3713"/>
      <c r="H351" s="3713"/>
      <c r="I351" s="3713"/>
      <c r="J351" s="3713"/>
      <c r="K351" s="3713"/>
      <c r="L351" s="3713"/>
      <c r="M351" s="3713"/>
      <c r="N351" s="3714"/>
    </row>
    <row r="352" spans="2:14" ht="13.5" customHeight="1">
      <c r="B352" s="3712" t="s">
        <v>878</v>
      </c>
      <c r="C352" s="3713"/>
      <c r="D352" s="3713"/>
      <c r="E352" s="3713"/>
      <c r="F352" s="3713"/>
      <c r="G352" s="3713"/>
      <c r="H352" s="3713"/>
      <c r="I352" s="3713"/>
      <c r="J352" s="3713"/>
      <c r="K352" s="3713"/>
      <c r="L352" s="3713"/>
      <c r="M352" s="3713"/>
      <c r="N352" s="3714"/>
    </row>
    <row r="353" spans="2:14" ht="16.5" customHeight="1">
      <c r="B353" s="3712"/>
      <c r="C353" s="3713"/>
      <c r="D353" s="3713"/>
      <c r="E353" s="3713"/>
      <c r="F353" s="3713"/>
      <c r="G353" s="3713"/>
      <c r="H353" s="3713"/>
      <c r="I353" s="3713"/>
      <c r="J353" s="3713"/>
      <c r="K353" s="3713"/>
      <c r="L353" s="3713"/>
      <c r="M353" s="3713"/>
      <c r="N353" s="3714"/>
    </row>
    <row r="354" spans="2:14" ht="12.75" customHeight="1">
      <c r="B354" s="3999"/>
      <c r="C354" s="4000"/>
      <c r="D354" s="4000"/>
      <c r="E354" s="4000"/>
      <c r="F354" s="4000"/>
      <c r="G354" s="4000"/>
      <c r="H354" s="4000"/>
      <c r="I354" s="4000"/>
      <c r="J354" s="4000"/>
      <c r="K354" s="4000"/>
      <c r="L354" s="4000"/>
      <c r="M354" s="4000"/>
      <c r="N354" s="4001"/>
    </row>
    <row r="355" spans="2:14" s="2818" customFormat="1" ht="12.75" customHeight="1">
      <c r="B355" s="2819"/>
      <c r="C355" s="2819"/>
      <c r="D355" s="2819"/>
      <c r="E355" s="2819"/>
      <c r="F355" s="2819"/>
      <c r="G355" s="2819"/>
      <c r="H355" s="2819"/>
      <c r="I355" s="2819"/>
      <c r="J355" s="2819"/>
      <c r="K355" s="2819"/>
      <c r="L355" s="2819"/>
      <c r="M355" s="2819"/>
      <c r="N355" s="2819"/>
    </row>
    <row r="356" spans="2:14" s="2818" customFormat="1" ht="12.75" customHeight="1" thickBot="1">
      <c r="B356" s="4008" t="s">
        <v>468</v>
      </c>
      <c r="C356" s="4009"/>
      <c r="D356" s="4009"/>
      <c r="E356" s="4009"/>
      <c r="F356" s="4009"/>
      <c r="G356" s="4009"/>
      <c r="H356" s="4009"/>
      <c r="I356" s="4009"/>
      <c r="J356" s="4009"/>
      <c r="K356" s="4009"/>
      <c r="L356" s="4009"/>
      <c r="M356" s="4009"/>
      <c r="N356" s="4010"/>
    </row>
    <row r="357" spans="2:14" s="2818" customFormat="1" ht="12.75" customHeight="1">
      <c r="B357" s="4005"/>
      <c r="C357" s="4006"/>
      <c r="D357" s="4006"/>
      <c r="E357" s="4006"/>
      <c r="F357" s="4006"/>
      <c r="G357" s="4006"/>
      <c r="H357" s="4006"/>
      <c r="I357" s="4006"/>
      <c r="J357" s="4006"/>
      <c r="K357" s="4006"/>
      <c r="L357" s="4006"/>
      <c r="M357" s="4006"/>
      <c r="N357" s="4007"/>
    </row>
    <row r="358" spans="2:14" s="2818" customFormat="1" ht="12.75" customHeight="1">
      <c r="B358" s="3785"/>
      <c r="C358" s="3786"/>
      <c r="D358" s="3786"/>
      <c r="E358" s="3786"/>
      <c r="F358" s="3786"/>
      <c r="G358" s="3786"/>
      <c r="H358" s="3786"/>
      <c r="I358" s="3786"/>
      <c r="J358" s="3786"/>
      <c r="K358" s="3786"/>
      <c r="L358" s="3786"/>
      <c r="M358" s="3786"/>
      <c r="N358" s="3787"/>
    </row>
    <row r="359" spans="2:14" s="2818" customFormat="1" ht="12.75" customHeight="1">
      <c r="B359" s="3785"/>
      <c r="C359" s="3786"/>
      <c r="D359" s="3786"/>
      <c r="E359" s="3786"/>
      <c r="F359" s="3786"/>
      <c r="G359" s="3786"/>
      <c r="H359" s="3786"/>
      <c r="I359" s="3786"/>
      <c r="J359" s="3786"/>
      <c r="K359" s="3786"/>
      <c r="L359" s="3786"/>
      <c r="M359" s="3786"/>
      <c r="N359" s="3787"/>
    </row>
    <row r="360" spans="2:14" s="2818" customFormat="1" ht="12.75" customHeight="1">
      <c r="B360" s="3785"/>
      <c r="C360" s="3786"/>
      <c r="D360" s="3786"/>
      <c r="E360" s="3786"/>
      <c r="F360" s="3786"/>
      <c r="G360" s="3786"/>
      <c r="H360" s="3786"/>
      <c r="I360" s="3786"/>
      <c r="J360" s="3786"/>
      <c r="K360" s="3786"/>
      <c r="L360" s="3786"/>
      <c r="M360" s="3786"/>
      <c r="N360" s="3787"/>
    </row>
    <row r="361" spans="2:14" ht="12.75" customHeight="1">
      <c r="B361" s="3785"/>
      <c r="C361" s="3786"/>
      <c r="D361" s="3786"/>
      <c r="E361" s="3786"/>
      <c r="F361" s="3786"/>
      <c r="G361" s="3786"/>
      <c r="H361" s="3786"/>
      <c r="I361" s="3786"/>
      <c r="J361" s="3786"/>
      <c r="K361" s="3786"/>
      <c r="L361" s="3786"/>
      <c r="M361" s="3786"/>
      <c r="N361" s="3787"/>
    </row>
    <row r="362" spans="2:14" ht="12.75" hidden="1" customHeight="1">
      <c r="B362" s="3792" t="s">
        <v>885</v>
      </c>
      <c r="C362" s="3793"/>
      <c r="D362" s="3793"/>
      <c r="E362" s="3793"/>
      <c r="F362" s="3793"/>
      <c r="G362" s="3793"/>
      <c r="H362" s="3793"/>
      <c r="I362" s="3793"/>
      <c r="J362" s="3793"/>
      <c r="K362" s="3793"/>
      <c r="L362" s="3793"/>
      <c r="M362" s="3793"/>
      <c r="N362" s="3794"/>
    </row>
    <row r="363" spans="2:14" ht="12.75" hidden="1" customHeight="1">
      <c r="B363" s="4002" t="s">
        <v>886</v>
      </c>
      <c r="C363" s="4003"/>
      <c r="D363" s="4003"/>
      <c r="E363" s="4003"/>
      <c r="F363" s="4003"/>
      <c r="G363" s="4003"/>
      <c r="H363" s="4003"/>
      <c r="I363" s="4003"/>
      <c r="J363" s="4003"/>
      <c r="K363" s="4003"/>
      <c r="L363" s="4003"/>
      <c r="M363" s="4003"/>
      <c r="N363" s="4004"/>
    </row>
    <row r="364" spans="2:14" ht="12.75" hidden="1" customHeight="1">
      <c r="B364" s="2713"/>
      <c r="C364" s="2713"/>
      <c r="D364" s="2713"/>
      <c r="E364" s="2713"/>
      <c r="F364" s="2713"/>
      <c r="G364" s="2713"/>
      <c r="H364" s="2713"/>
      <c r="I364" s="2713"/>
      <c r="J364" s="2713"/>
      <c r="K364" s="2713"/>
      <c r="L364" s="2713"/>
      <c r="M364" s="2713"/>
      <c r="N364" s="2713"/>
    </row>
    <row r="365" spans="2:14" ht="12.75" hidden="1" customHeight="1">
      <c r="B365" s="2713"/>
      <c r="C365" s="2713"/>
      <c r="D365" s="2713"/>
      <c r="E365" s="2713"/>
      <c r="F365" s="2713"/>
      <c r="G365" s="2713"/>
      <c r="H365" s="2713"/>
      <c r="I365" s="2713"/>
      <c r="J365" s="2713"/>
      <c r="K365" s="2713"/>
      <c r="L365" s="2713"/>
      <c r="M365" s="2713"/>
      <c r="N365" s="2713"/>
    </row>
    <row r="366" spans="2:14" ht="12.75" hidden="1" customHeight="1">
      <c r="B366" s="2713"/>
      <c r="C366" s="2713"/>
      <c r="D366" s="2713"/>
      <c r="E366" s="2713"/>
      <c r="F366" s="2713"/>
      <c r="G366" s="2713"/>
      <c r="H366" s="2713"/>
      <c r="I366" s="2713"/>
      <c r="J366" s="2713"/>
      <c r="K366" s="2713"/>
      <c r="L366" s="2713"/>
      <c r="M366" s="2713"/>
      <c r="N366" s="2713"/>
    </row>
    <row r="367" spans="2:14" ht="12.75" hidden="1" customHeight="1">
      <c r="B367" s="2713"/>
      <c r="C367" s="2713"/>
      <c r="D367" s="2713"/>
      <c r="E367" s="2713"/>
      <c r="F367" s="2713"/>
      <c r="G367" s="2713"/>
      <c r="H367" s="2713"/>
      <c r="I367" s="2713"/>
      <c r="J367" s="2713"/>
      <c r="K367" s="2713"/>
      <c r="L367" s="2713"/>
      <c r="M367" s="2713"/>
      <c r="N367" s="2713"/>
    </row>
    <row r="368" spans="2:14" ht="12.75" hidden="1" customHeight="1">
      <c r="B368" s="2713"/>
      <c r="C368" s="2713"/>
      <c r="D368" s="2713"/>
      <c r="E368" s="2713"/>
      <c r="F368" s="2713"/>
      <c r="G368" s="2713"/>
      <c r="H368" s="2713"/>
      <c r="I368" s="2713"/>
      <c r="J368" s="2713"/>
      <c r="K368" s="2713"/>
      <c r="L368" s="2713"/>
      <c r="M368" s="2713"/>
      <c r="N368" s="2713"/>
    </row>
    <row r="369" spans="2:14" ht="12.75" hidden="1" customHeight="1">
      <c r="B369" s="2713"/>
      <c r="C369" s="2713"/>
      <c r="D369" s="2713"/>
      <c r="E369" s="2713"/>
      <c r="F369" s="2713"/>
      <c r="G369" s="2713"/>
      <c r="H369" s="2713"/>
      <c r="I369" s="2713"/>
      <c r="J369" s="2713"/>
      <c r="K369" s="2713"/>
      <c r="L369" s="2713"/>
      <c r="M369" s="2713"/>
      <c r="N369" s="2713"/>
    </row>
    <row r="370" spans="2:14" ht="12.75" hidden="1" customHeight="1">
      <c r="B370" s="2713"/>
      <c r="C370" s="2713"/>
      <c r="D370" s="2713"/>
      <c r="E370" s="2713"/>
      <c r="F370" s="2713"/>
      <c r="G370" s="2713"/>
      <c r="H370" s="2713"/>
      <c r="I370" s="2713"/>
      <c r="J370" s="2713"/>
      <c r="K370" s="2713"/>
      <c r="L370" s="2713"/>
      <c r="M370" s="2713"/>
      <c r="N370" s="2713"/>
    </row>
    <row r="371" spans="2:14" ht="12.75" hidden="1" customHeight="1">
      <c r="B371" s="2713"/>
      <c r="C371" s="2713"/>
      <c r="D371" s="2713"/>
      <c r="E371" s="2713"/>
      <c r="F371" s="2713"/>
      <c r="G371" s="2713"/>
      <c r="H371" s="2713"/>
      <c r="I371" s="2713"/>
      <c r="J371" s="2713"/>
      <c r="K371" s="2713"/>
      <c r="L371" s="2713"/>
      <c r="M371" s="2713"/>
      <c r="N371" s="2713"/>
    </row>
    <row r="372" spans="2:14" ht="12.75" hidden="1" customHeight="1">
      <c r="B372" s="2713"/>
      <c r="C372" s="2713"/>
      <c r="D372" s="2713"/>
      <c r="E372" s="2713"/>
      <c r="F372" s="2713"/>
      <c r="G372" s="2713"/>
      <c r="H372" s="2713"/>
      <c r="I372" s="2713"/>
      <c r="J372" s="2713"/>
      <c r="K372" s="2713"/>
      <c r="L372" s="2713"/>
      <c r="M372" s="2713"/>
      <c r="N372" s="2713"/>
    </row>
    <row r="373" spans="2:14" ht="12.75" hidden="1" customHeight="1">
      <c r="B373" s="2713"/>
      <c r="C373" s="2713"/>
      <c r="D373" s="2713"/>
      <c r="E373" s="2713"/>
      <c r="F373" s="2713"/>
      <c r="G373" s="2713"/>
      <c r="H373" s="2713"/>
      <c r="I373" s="2713"/>
      <c r="J373" s="2713"/>
      <c r="K373" s="2713"/>
      <c r="L373" s="2713"/>
      <c r="M373" s="2713"/>
      <c r="N373" s="2713"/>
    </row>
    <row r="374" spans="2:14" ht="12.75" hidden="1" customHeight="1">
      <c r="B374" s="2713"/>
      <c r="C374" s="2713"/>
      <c r="D374" s="2713"/>
      <c r="E374" s="2713"/>
      <c r="F374" s="2713"/>
      <c r="G374" s="2713"/>
      <c r="H374" s="2713"/>
      <c r="I374" s="2713"/>
      <c r="J374" s="2713"/>
      <c r="K374" s="2713"/>
      <c r="L374" s="2713"/>
      <c r="M374" s="2713"/>
      <c r="N374" s="2713"/>
    </row>
    <row r="375" spans="2:14" ht="12.75" hidden="1" customHeight="1">
      <c r="B375" s="2713"/>
      <c r="C375" s="2713"/>
      <c r="D375" s="2713"/>
      <c r="E375" s="2713"/>
      <c r="F375" s="2713"/>
      <c r="G375" s="2713"/>
      <c r="H375" s="2713"/>
      <c r="I375" s="2713"/>
      <c r="J375" s="2713"/>
      <c r="K375" s="2713"/>
      <c r="L375" s="2713"/>
      <c r="M375" s="2713"/>
      <c r="N375" s="2713"/>
    </row>
    <row r="376" spans="2:14" ht="12.75" hidden="1" customHeight="1">
      <c r="B376" s="2713"/>
      <c r="C376" s="2713"/>
      <c r="D376" s="2713"/>
      <c r="E376" s="2713"/>
      <c r="F376" s="2713"/>
      <c r="G376" s="2713"/>
      <c r="H376" s="2713"/>
      <c r="I376" s="2713"/>
      <c r="J376" s="2713"/>
      <c r="K376" s="2713"/>
      <c r="L376" s="2713"/>
      <c r="M376" s="2713"/>
      <c r="N376" s="2713"/>
    </row>
    <row r="377" spans="2:14" ht="13.5" hidden="1" customHeight="1">
      <c r="B377" s="2713"/>
      <c r="C377" s="2713"/>
      <c r="D377" s="2713"/>
      <c r="E377" s="2713"/>
      <c r="F377" s="2713"/>
      <c r="G377" s="2713"/>
      <c r="H377" s="2713"/>
      <c r="I377" s="2713"/>
      <c r="J377" s="2713"/>
      <c r="K377" s="2713"/>
      <c r="L377" s="2713"/>
      <c r="M377" s="2713"/>
      <c r="N377" s="2713"/>
    </row>
    <row r="378" spans="2:14" ht="15.75" hidden="1" customHeight="1">
      <c r="B378" s="2713"/>
      <c r="C378" s="2713"/>
      <c r="D378" s="2713"/>
      <c r="E378" s="2713"/>
      <c r="F378" s="2713"/>
      <c r="G378" s="2713"/>
      <c r="H378" s="2713"/>
      <c r="I378" s="2713"/>
      <c r="J378" s="2713"/>
      <c r="K378" s="2713"/>
      <c r="L378" s="2713"/>
      <c r="M378" s="2713"/>
      <c r="N378" s="2713"/>
    </row>
    <row r="379" spans="2:14" ht="15.75" hidden="1" customHeight="1">
      <c r="B379" s="2713" t="s">
        <v>469</v>
      </c>
      <c r="C379" s="2713"/>
      <c r="D379" s="2713"/>
      <c r="E379" s="2713"/>
      <c r="F379" s="2713"/>
      <c r="G379" s="2713"/>
      <c r="H379" s="2713"/>
      <c r="I379" s="2713"/>
      <c r="J379" s="2713"/>
      <c r="K379" s="2713"/>
      <c r="L379" s="2713"/>
      <c r="M379" s="2713"/>
      <c r="N379" s="2713"/>
    </row>
    <row r="380" spans="2:14" ht="12.75" hidden="1" customHeight="1">
      <c r="B380" s="2713"/>
      <c r="C380" s="2713"/>
      <c r="D380" s="2713"/>
      <c r="E380" s="2713"/>
      <c r="F380" s="2713"/>
      <c r="G380" s="2713"/>
      <c r="H380" s="2713"/>
      <c r="I380" s="2713"/>
      <c r="J380" s="2713"/>
      <c r="K380" s="2713"/>
      <c r="L380" s="2713"/>
      <c r="M380" s="2713"/>
      <c r="N380" s="2713"/>
    </row>
    <row r="381" spans="2:14" ht="12.75" hidden="1" customHeight="1">
      <c r="B381" s="2713"/>
      <c r="C381" s="2713"/>
      <c r="D381" s="2713"/>
      <c r="E381" s="2713"/>
      <c r="F381" s="2713"/>
      <c r="G381" s="2713"/>
      <c r="H381" s="2713"/>
      <c r="I381" s="2713"/>
      <c r="J381" s="2713"/>
      <c r="K381" s="2713"/>
      <c r="L381" s="2713"/>
      <c r="M381" s="2713"/>
      <c r="N381" s="2713"/>
    </row>
    <row r="382" spans="2:14" ht="12.75" hidden="1" customHeight="1">
      <c r="B382" s="2713"/>
      <c r="C382" s="2713"/>
      <c r="D382" s="2713"/>
      <c r="E382" s="2713"/>
      <c r="F382" s="2713"/>
      <c r="G382" s="2713"/>
      <c r="H382" s="2713"/>
      <c r="I382" s="2713"/>
      <c r="J382" s="2713"/>
      <c r="K382" s="2713"/>
      <c r="L382" s="2713"/>
      <c r="M382" s="2713"/>
      <c r="N382" s="2713"/>
    </row>
    <row r="383" spans="2:14" ht="15" hidden="1" customHeight="1">
      <c r="B383" s="2713"/>
      <c r="C383" s="2713"/>
      <c r="D383" s="2713"/>
      <c r="E383" s="2713"/>
      <c r="F383" s="2713"/>
      <c r="G383" s="2713"/>
      <c r="H383" s="2713"/>
      <c r="I383" s="2713"/>
      <c r="J383" s="2713"/>
      <c r="K383" s="2713"/>
      <c r="L383" s="2713"/>
      <c r="M383" s="2713"/>
      <c r="N383" s="2713"/>
    </row>
    <row r="384" spans="2:14" ht="15" hidden="1" customHeight="1">
      <c r="B384" s="2713"/>
      <c r="C384" s="2713"/>
      <c r="D384" s="2713"/>
      <c r="E384" s="2713"/>
      <c r="F384" s="2713"/>
      <c r="G384" s="2713"/>
      <c r="H384" s="2713"/>
      <c r="I384" s="2713"/>
      <c r="J384" s="2713"/>
      <c r="K384" s="2713"/>
      <c r="L384" s="2713"/>
      <c r="M384" s="2713"/>
      <c r="N384" s="2713"/>
    </row>
    <row r="385" spans="2:14" ht="15" hidden="1" customHeight="1">
      <c r="B385" s="2713"/>
      <c r="C385" s="2713"/>
      <c r="D385" s="2713"/>
      <c r="E385" s="2713"/>
      <c r="F385" s="2713"/>
      <c r="G385" s="2713"/>
      <c r="H385" s="2713"/>
      <c r="I385" s="2713"/>
      <c r="J385" s="2713"/>
      <c r="K385" s="2713"/>
      <c r="L385" s="2713"/>
      <c r="M385" s="2713"/>
      <c r="N385" s="2713"/>
    </row>
    <row r="386" spans="2:14" ht="15" hidden="1" customHeight="1">
      <c r="B386" s="2713"/>
      <c r="C386" s="2713"/>
      <c r="D386" s="2713"/>
      <c r="E386" s="2713"/>
      <c r="F386" s="2713"/>
      <c r="G386" s="2713"/>
      <c r="H386" s="2713"/>
      <c r="I386" s="2713"/>
      <c r="J386" s="2713"/>
      <c r="K386" s="2713"/>
      <c r="L386" s="2713"/>
      <c r="M386" s="2713"/>
      <c r="N386" s="2713"/>
    </row>
    <row r="387" spans="2:14" ht="15" hidden="1" customHeight="1">
      <c r="B387" s="2713"/>
      <c r="C387" s="2713"/>
      <c r="D387" s="2713"/>
      <c r="E387" s="2713"/>
      <c r="F387" s="2713"/>
      <c r="G387" s="2713"/>
      <c r="H387" s="2713"/>
      <c r="I387" s="2713"/>
      <c r="J387" s="2713"/>
      <c r="K387" s="2713"/>
      <c r="L387" s="2713"/>
      <c r="M387" s="2713"/>
      <c r="N387" s="2713"/>
    </row>
    <row r="388" spans="2:14" ht="15" hidden="1" customHeight="1">
      <c r="B388" s="2713"/>
      <c r="C388" s="2713"/>
      <c r="D388" s="2713"/>
      <c r="E388" s="2713"/>
      <c r="F388" s="2713"/>
      <c r="G388" s="2713"/>
      <c r="H388" s="2713"/>
      <c r="I388" s="2713"/>
      <c r="J388" s="2713"/>
      <c r="K388" s="2713"/>
      <c r="L388" s="2713"/>
      <c r="M388" s="2713"/>
      <c r="N388" s="2713"/>
    </row>
    <row r="389" spans="2:14" ht="15" hidden="1" customHeight="1">
      <c r="B389" s="2713"/>
      <c r="C389" s="2713"/>
      <c r="D389" s="2713"/>
      <c r="E389" s="2713"/>
      <c r="F389" s="2713"/>
      <c r="G389" s="2713"/>
      <c r="H389" s="2713"/>
      <c r="I389" s="2713"/>
      <c r="J389" s="2713"/>
      <c r="K389" s="2713"/>
      <c r="L389" s="2713"/>
      <c r="M389" s="2713"/>
      <c r="N389" s="2713"/>
    </row>
    <row r="390" spans="2:14" ht="15" hidden="1" customHeight="1">
      <c r="B390" s="2713"/>
      <c r="C390" s="2713"/>
      <c r="D390" s="2713"/>
      <c r="E390" s="2713"/>
      <c r="F390" s="2713"/>
      <c r="G390" s="2713"/>
      <c r="H390" s="2713"/>
      <c r="I390" s="2713"/>
      <c r="J390" s="2713"/>
      <c r="K390" s="2713"/>
      <c r="L390" s="2713"/>
      <c r="M390" s="2713"/>
      <c r="N390" s="2713"/>
    </row>
    <row r="391" spans="2:14" ht="11.25" hidden="1" customHeight="1">
      <c r="B391" s="2713"/>
      <c r="C391" s="2713"/>
      <c r="D391" s="2713"/>
      <c r="E391" s="2713"/>
      <c r="F391" s="2713"/>
      <c r="G391" s="2713"/>
      <c r="H391" s="2713"/>
      <c r="I391" s="2713"/>
      <c r="J391" s="2713"/>
      <c r="K391" s="2713"/>
      <c r="L391" s="2713"/>
      <c r="M391" s="2713"/>
      <c r="N391" s="2713"/>
    </row>
    <row r="392" spans="2:14" ht="15.75" hidden="1" customHeight="1">
      <c r="B392" s="2713" t="s">
        <v>470</v>
      </c>
      <c r="C392" s="2713"/>
      <c r="D392" s="2713"/>
      <c r="E392" s="2713"/>
      <c r="F392" s="2713"/>
      <c r="G392" s="2713"/>
      <c r="H392" s="2713"/>
      <c r="I392" s="2713"/>
      <c r="J392" s="2713"/>
      <c r="K392" s="2713"/>
      <c r="L392" s="2713"/>
      <c r="M392" s="2713"/>
      <c r="N392" s="2713"/>
    </row>
    <row r="393" spans="2:14" ht="15" hidden="1" customHeight="1">
      <c r="B393" s="2713"/>
      <c r="C393" s="2713"/>
      <c r="D393" s="2713"/>
      <c r="E393" s="2713"/>
      <c r="F393" s="2713"/>
      <c r="G393" s="2713"/>
      <c r="H393" s="2713"/>
      <c r="I393" s="2713"/>
      <c r="J393" s="2713"/>
      <c r="K393" s="2713"/>
      <c r="L393" s="2713"/>
      <c r="M393" s="2713"/>
      <c r="N393" s="2713"/>
    </row>
    <row r="394" spans="2:14" ht="15" hidden="1" customHeight="1">
      <c r="B394" s="2713"/>
      <c r="C394" s="2713"/>
      <c r="D394" s="2713"/>
      <c r="E394" s="2713"/>
      <c r="F394" s="2713"/>
      <c r="G394" s="2713"/>
      <c r="H394" s="2713"/>
      <c r="I394" s="2713"/>
      <c r="J394" s="2713"/>
      <c r="K394" s="2713"/>
      <c r="L394" s="2713"/>
      <c r="M394" s="2713"/>
      <c r="N394" s="2713"/>
    </row>
    <row r="395" spans="2:14" ht="15" hidden="1" customHeight="1">
      <c r="B395" s="2713"/>
      <c r="C395" s="2713"/>
      <c r="D395" s="2713"/>
      <c r="E395" s="2713"/>
      <c r="F395" s="2713"/>
      <c r="G395" s="2713"/>
      <c r="H395" s="2713"/>
      <c r="I395" s="2713"/>
      <c r="J395" s="2713"/>
      <c r="K395" s="2713"/>
      <c r="L395" s="2713"/>
      <c r="M395" s="2713"/>
      <c r="N395" s="2713"/>
    </row>
    <row r="396" spans="2:14" ht="11.25" hidden="1" customHeight="1">
      <c r="B396" s="2713"/>
      <c r="C396" s="2713"/>
      <c r="D396" s="2713"/>
      <c r="E396" s="2713"/>
      <c r="F396" s="2713"/>
      <c r="G396" s="2713"/>
      <c r="H396" s="2713"/>
      <c r="I396" s="2713"/>
      <c r="J396" s="2713"/>
      <c r="K396" s="2713"/>
      <c r="L396" s="2713"/>
      <c r="M396" s="2713"/>
      <c r="N396" s="2713"/>
    </row>
    <row r="397" spans="2:14" ht="15.75" hidden="1" customHeight="1">
      <c r="B397" s="2713" t="s">
        <v>471</v>
      </c>
      <c r="C397" s="2713"/>
      <c r="D397" s="2713"/>
      <c r="E397" s="2713"/>
      <c r="F397" s="2713"/>
      <c r="G397" s="2713"/>
      <c r="H397" s="2713"/>
      <c r="I397" s="2713"/>
      <c r="J397" s="2713"/>
      <c r="K397" s="2713"/>
      <c r="L397" s="2713"/>
      <c r="M397" s="2713"/>
      <c r="N397" s="2713"/>
    </row>
    <row r="398" spans="2:14" ht="15" hidden="1" customHeight="1">
      <c r="B398" s="2713"/>
      <c r="C398" s="2713"/>
      <c r="D398" s="2713"/>
      <c r="E398" s="2713"/>
      <c r="F398" s="2713"/>
      <c r="G398" s="2713"/>
      <c r="H398" s="2713"/>
      <c r="I398" s="2713"/>
      <c r="J398" s="2713"/>
      <c r="K398" s="2713"/>
      <c r="L398" s="2713"/>
      <c r="M398" s="2713"/>
      <c r="N398" s="2713"/>
    </row>
    <row r="399" spans="2:14" s="2713" customFormat="1" hidden="1"/>
    <row r="400" spans="2:14" s="2713" customFormat="1" hidden="1"/>
    <row r="401" spans="2:14" s="2713" customFormat="1" hidden="1"/>
    <row r="402" spans="2:14" s="2713" customFormat="1" hidden="1"/>
    <row r="403" spans="2:14" s="2713" customFormat="1" hidden="1"/>
    <row r="404" spans="2:14">
      <c r="B404" s="2713"/>
      <c r="C404" s="2713"/>
      <c r="D404" s="2713"/>
      <c r="E404" s="2713"/>
      <c r="F404" s="2713"/>
      <c r="G404" s="2713"/>
      <c r="H404" s="2713"/>
      <c r="I404" s="2713"/>
      <c r="J404" s="2713"/>
      <c r="K404" s="2713"/>
      <c r="L404" s="2713"/>
      <c r="M404" s="2713"/>
      <c r="N404" s="2713"/>
    </row>
    <row r="405" spans="2:14" ht="26.25">
      <c r="B405" s="3766" t="s">
        <v>523</v>
      </c>
      <c r="C405" s="3767"/>
      <c r="D405" s="3767"/>
      <c r="E405" s="3767"/>
      <c r="F405" s="3767"/>
      <c r="G405" s="3767"/>
      <c r="H405" s="3767"/>
      <c r="I405" s="3767"/>
      <c r="J405" s="3767"/>
      <c r="K405" s="3767"/>
      <c r="L405" s="3767"/>
      <c r="M405" s="3767"/>
      <c r="N405" s="3768"/>
    </row>
    <row r="406" spans="2:14" ht="16.5" thickBot="1">
      <c r="B406" s="3861" t="s">
        <v>405</v>
      </c>
      <c r="C406" s="3862"/>
      <c r="D406" s="3862"/>
      <c r="E406" s="3862"/>
      <c r="F406" s="3862"/>
      <c r="G406" s="3862"/>
      <c r="H406" s="3862"/>
      <c r="I406" s="3862"/>
      <c r="J406" s="3862"/>
      <c r="K406" s="3862"/>
      <c r="L406" s="3862"/>
      <c r="M406" s="3862"/>
      <c r="N406" s="3863"/>
    </row>
    <row r="407" spans="2:14" ht="12.75">
      <c r="B407" s="3769" t="s">
        <v>794</v>
      </c>
      <c r="C407" s="3770"/>
      <c r="D407" s="3770"/>
      <c r="E407" s="3770"/>
      <c r="F407" s="3770"/>
      <c r="G407" s="3770"/>
      <c r="H407" s="3770"/>
      <c r="I407" s="3770"/>
      <c r="J407" s="3770"/>
      <c r="K407" s="3770"/>
      <c r="L407" s="3770"/>
      <c r="M407" s="3770"/>
      <c r="N407" s="3771"/>
    </row>
    <row r="408" spans="2:14" ht="12.75">
      <c r="B408" s="3772" t="s">
        <v>795</v>
      </c>
      <c r="C408" s="3773"/>
      <c r="D408" s="3773"/>
      <c r="E408" s="3773"/>
      <c r="F408" s="3773"/>
      <c r="G408" s="3773"/>
      <c r="H408" s="3773"/>
      <c r="I408" s="3773"/>
      <c r="J408" s="3773"/>
      <c r="K408" s="3773"/>
      <c r="L408" s="3773"/>
      <c r="M408" s="3773"/>
      <c r="N408" s="3774"/>
    </row>
    <row r="409" spans="2:14" ht="12.75">
      <c r="B409" s="3763" t="s">
        <v>796</v>
      </c>
      <c r="C409" s="3764"/>
      <c r="D409" s="3764"/>
      <c r="E409" s="3764"/>
      <c r="F409" s="3764"/>
      <c r="G409" s="3764"/>
      <c r="H409" s="3764"/>
      <c r="I409" s="3764"/>
      <c r="J409" s="3764"/>
      <c r="K409" s="3764"/>
      <c r="L409" s="3764"/>
      <c r="M409" s="3764"/>
      <c r="N409" s="3765"/>
    </row>
    <row r="410" spans="2:14" ht="15">
      <c r="B410" s="3712" t="s">
        <v>797</v>
      </c>
      <c r="C410" s="3713"/>
      <c r="D410" s="3713"/>
      <c r="E410" s="3713"/>
      <c r="F410" s="3713"/>
      <c r="G410" s="3713"/>
      <c r="H410" s="3713"/>
      <c r="I410" s="3713"/>
      <c r="J410" s="3713"/>
      <c r="K410" s="3713"/>
      <c r="L410" s="3713"/>
      <c r="M410" s="3713"/>
      <c r="N410" s="3714"/>
    </row>
    <row r="411" spans="2:14" ht="15">
      <c r="B411" s="3715" t="s">
        <v>798</v>
      </c>
      <c r="C411" s="3716"/>
      <c r="D411" s="3716"/>
      <c r="E411" s="3716"/>
      <c r="F411" s="3716"/>
      <c r="G411" s="3716"/>
      <c r="H411" s="3716"/>
      <c r="I411" s="3716"/>
      <c r="J411" s="3716"/>
      <c r="K411" s="3716"/>
      <c r="L411" s="3716"/>
      <c r="M411" s="3716"/>
      <c r="N411" s="3717"/>
    </row>
    <row r="412" spans="2:14" ht="15">
      <c r="B412" s="3715" t="s">
        <v>799</v>
      </c>
      <c r="C412" s="3716"/>
      <c r="D412" s="3716"/>
      <c r="E412" s="3716"/>
      <c r="F412" s="3716"/>
      <c r="G412" s="3716"/>
      <c r="H412" s="3716"/>
      <c r="I412" s="3716"/>
      <c r="J412" s="3716"/>
      <c r="K412" s="3716"/>
      <c r="L412" s="3716"/>
      <c r="M412" s="3716"/>
      <c r="N412" s="3717"/>
    </row>
    <row r="413" spans="2:14" ht="12.75">
      <c r="B413" s="3728" t="s">
        <v>800</v>
      </c>
      <c r="C413" s="3729"/>
      <c r="D413" s="3729"/>
      <c r="E413" s="3729"/>
      <c r="F413" s="3729"/>
      <c r="G413" s="3729"/>
      <c r="H413" s="3729"/>
      <c r="I413" s="3729"/>
      <c r="J413" s="3729"/>
      <c r="K413" s="3729"/>
      <c r="L413" s="3729"/>
      <c r="M413" s="3729"/>
      <c r="N413" s="3730"/>
    </row>
    <row r="414" spans="2:14" ht="12.75">
      <c r="B414" s="3772"/>
      <c r="C414" s="3773"/>
      <c r="D414" s="3773"/>
      <c r="E414" s="3773"/>
      <c r="F414" s="3773"/>
      <c r="G414" s="3773"/>
      <c r="H414" s="3773"/>
      <c r="I414" s="3773"/>
      <c r="J414" s="3773"/>
      <c r="K414" s="3773"/>
      <c r="L414" s="3773"/>
      <c r="M414" s="3773"/>
      <c r="N414" s="3774"/>
    </row>
    <row r="415" spans="2:14" ht="13.5" thickBot="1">
      <c r="B415" s="3775"/>
      <c r="C415" s="3776"/>
      <c r="D415" s="3776"/>
      <c r="E415" s="3776"/>
      <c r="F415" s="3776"/>
      <c r="G415" s="3776"/>
      <c r="H415" s="3776"/>
      <c r="I415" s="3776"/>
      <c r="J415" s="3776"/>
      <c r="K415" s="3776"/>
      <c r="L415" s="3776"/>
      <c r="M415" s="3776"/>
      <c r="N415" s="3777"/>
    </row>
    <row r="416" spans="2:14" ht="15.75" thickBot="1">
      <c r="B416" s="3778"/>
      <c r="C416" s="3778"/>
      <c r="D416" s="3778"/>
      <c r="E416" s="3778"/>
      <c r="F416" s="3778"/>
      <c r="G416" s="3778"/>
      <c r="H416" s="3778"/>
      <c r="I416" s="3778"/>
      <c r="J416" s="3778"/>
      <c r="K416" s="3778"/>
      <c r="L416" s="3778"/>
      <c r="M416" s="3778"/>
      <c r="N416" s="3778"/>
    </row>
    <row r="417" spans="2:14" ht="16.5" thickBot="1">
      <c r="B417" s="3779" t="s">
        <v>406</v>
      </c>
      <c r="C417" s="3780"/>
      <c r="D417" s="3780"/>
      <c r="E417" s="3780"/>
      <c r="F417" s="3780"/>
      <c r="G417" s="3780"/>
      <c r="H417" s="3780"/>
      <c r="I417" s="3780"/>
      <c r="J417" s="3780"/>
      <c r="K417" s="3780"/>
      <c r="L417" s="3780"/>
      <c r="M417" s="3780"/>
      <c r="N417" s="3781"/>
    </row>
    <row r="418" spans="2:14" ht="15">
      <c r="B418" s="3782" t="s">
        <v>801</v>
      </c>
      <c r="C418" s="3783"/>
      <c r="D418" s="3783"/>
      <c r="E418" s="3783"/>
      <c r="F418" s="3783"/>
      <c r="G418" s="3783"/>
      <c r="H418" s="3783"/>
      <c r="I418" s="3783"/>
      <c r="J418" s="3783"/>
      <c r="K418" s="3783"/>
      <c r="L418" s="3783"/>
      <c r="M418" s="3783"/>
      <c r="N418" s="3784"/>
    </row>
    <row r="419" spans="2:14" ht="15">
      <c r="B419" s="3715" t="s">
        <v>797</v>
      </c>
      <c r="C419" s="3716"/>
      <c r="D419" s="3716"/>
      <c r="E419" s="3716"/>
      <c r="F419" s="3716"/>
      <c r="G419" s="3716"/>
      <c r="H419" s="3716"/>
      <c r="I419" s="3716"/>
      <c r="J419" s="3716"/>
      <c r="K419" s="3716"/>
      <c r="L419" s="3716"/>
      <c r="M419" s="3716"/>
      <c r="N419" s="3717"/>
    </row>
    <row r="420" spans="2:14" ht="15">
      <c r="B420" s="3715" t="s">
        <v>802</v>
      </c>
      <c r="C420" s="3716"/>
      <c r="D420" s="3716"/>
      <c r="E420" s="3716"/>
      <c r="F420" s="3716"/>
      <c r="G420" s="3716"/>
      <c r="H420" s="3716"/>
      <c r="I420" s="3716"/>
      <c r="J420" s="3716"/>
      <c r="K420" s="3716"/>
      <c r="L420" s="3716"/>
      <c r="M420" s="3716"/>
      <c r="N420" s="3717"/>
    </row>
    <row r="421" spans="2:14" ht="15">
      <c r="B421" s="3715" t="s">
        <v>803</v>
      </c>
      <c r="C421" s="3716"/>
      <c r="D421" s="3716"/>
      <c r="E421" s="3716"/>
      <c r="F421" s="3716"/>
      <c r="G421" s="3716"/>
      <c r="H421" s="3716"/>
      <c r="I421" s="3716"/>
      <c r="J421" s="3716"/>
      <c r="K421" s="3716"/>
      <c r="L421" s="3716"/>
      <c r="M421" s="3716"/>
      <c r="N421" s="3717"/>
    </row>
    <row r="422" spans="2:14" ht="15">
      <c r="B422" s="3715" t="s">
        <v>804</v>
      </c>
      <c r="C422" s="3716"/>
      <c r="D422" s="3716"/>
      <c r="E422" s="3716"/>
      <c r="F422" s="3716"/>
      <c r="G422" s="3716"/>
      <c r="H422" s="3716"/>
      <c r="I422" s="3716"/>
      <c r="J422" s="3716"/>
      <c r="K422" s="3716"/>
      <c r="L422" s="3716"/>
      <c r="M422" s="3716"/>
      <c r="N422" s="3717"/>
    </row>
    <row r="423" spans="2:14" ht="15">
      <c r="B423" s="3715" t="s">
        <v>805</v>
      </c>
      <c r="C423" s="3716"/>
      <c r="D423" s="3716"/>
      <c r="E423" s="3716"/>
      <c r="F423" s="3716"/>
      <c r="G423" s="3716"/>
      <c r="H423" s="3716"/>
      <c r="I423" s="3716"/>
      <c r="J423" s="3716"/>
      <c r="K423" s="3716"/>
      <c r="L423" s="3716"/>
      <c r="M423" s="3716"/>
      <c r="N423" s="3717"/>
    </row>
    <row r="424" spans="2:14" ht="15">
      <c r="B424" s="3715" t="s">
        <v>806</v>
      </c>
      <c r="C424" s="3716"/>
      <c r="D424" s="3716"/>
      <c r="E424" s="3716"/>
      <c r="F424" s="3716"/>
      <c r="G424" s="3716"/>
      <c r="H424" s="3716"/>
      <c r="I424" s="3716"/>
      <c r="J424" s="3716"/>
      <c r="K424" s="3716"/>
      <c r="L424" s="3716"/>
      <c r="M424" s="3716"/>
      <c r="N424" s="3717"/>
    </row>
    <row r="425" spans="2:14" ht="12.75">
      <c r="B425" s="3763" t="s">
        <v>807</v>
      </c>
      <c r="C425" s="3764"/>
      <c r="D425" s="3764"/>
      <c r="E425" s="3764"/>
      <c r="F425" s="3764"/>
      <c r="G425" s="3764"/>
      <c r="H425" s="3764"/>
      <c r="I425" s="3764"/>
      <c r="J425" s="3764"/>
      <c r="K425" s="3764"/>
      <c r="L425" s="3764"/>
      <c r="M425" s="3764"/>
      <c r="N425" s="3765"/>
    </row>
    <row r="426" spans="2:14" ht="12.75">
      <c r="B426" s="3763" t="s">
        <v>808</v>
      </c>
      <c r="C426" s="3764"/>
      <c r="D426" s="3764"/>
      <c r="E426" s="3764"/>
      <c r="F426" s="3764"/>
      <c r="G426" s="3764"/>
      <c r="H426" s="3764"/>
      <c r="I426" s="3764"/>
      <c r="J426" s="3764"/>
      <c r="K426" s="3764"/>
      <c r="L426" s="3764"/>
      <c r="M426" s="3764"/>
      <c r="N426" s="3765"/>
    </row>
    <row r="427" spans="2:14" ht="12.75">
      <c r="B427" s="3763" t="s">
        <v>809</v>
      </c>
      <c r="C427" s="3764"/>
      <c r="D427" s="3764"/>
      <c r="E427" s="3764"/>
      <c r="F427" s="3764"/>
      <c r="G427" s="3764"/>
      <c r="H427" s="3764"/>
      <c r="I427" s="3764"/>
      <c r="J427" s="3764"/>
      <c r="K427" s="3764"/>
      <c r="L427" s="3764"/>
      <c r="M427" s="3764"/>
      <c r="N427" s="3765"/>
    </row>
    <row r="428" spans="2:14" ht="15.75" thickBot="1">
      <c r="B428" s="3731" t="s">
        <v>810</v>
      </c>
      <c r="C428" s="3732"/>
      <c r="D428" s="3732"/>
      <c r="E428" s="3732"/>
      <c r="F428" s="3732"/>
      <c r="G428" s="3732"/>
      <c r="H428" s="3732"/>
      <c r="I428" s="3732"/>
      <c r="J428" s="3732"/>
      <c r="K428" s="3732"/>
      <c r="L428" s="3732"/>
      <c r="M428" s="3732"/>
      <c r="N428" s="3733"/>
    </row>
    <row r="429" spans="2:14" ht="12.75">
      <c r="B429" s="1367"/>
      <c r="C429" s="1367"/>
      <c r="D429" s="1367"/>
      <c r="E429" s="1367"/>
      <c r="F429" s="1367"/>
      <c r="G429" s="1367"/>
      <c r="H429" s="1367"/>
      <c r="I429" s="1367"/>
      <c r="J429" s="1367"/>
      <c r="K429" s="1367"/>
      <c r="L429" s="1367"/>
      <c r="M429" s="1367"/>
      <c r="N429" s="1367"/>
    </row>
    <row r="430" spans="2:14" ht="15">
      <c r="B430" s="3788"/>
      <c r="C430" s="3788"/>
      <c r="D430" s="3788"/>
      <c r="E430" s="3788"/>
      <c r="F430" s="3788"/>
      <c r="G430" s="3788"/>
      <c r="H430" s="3788"/>
      <c r="I430" s="3788"/>
      <c r="J430" s="3788"/>
      <c r="K430" s="3788"/>
      <c r="L430" s="3788"/>
      <c r="M430" s="3788"/>
      <c r="N430" s="3788"/>
    </row>
    <row r="431" spans="2:14" ht="15.75">
      <c r="B431" s="3789" t="s">
        <v>407</v>
      </c>
      <c r="C431" s="3790"/>
      <c r="D431" s="3790"/>
      <c r="E431" s="3790"/>
      <c r="F431" s="3790"/>
      <c r="G431" s="3790"/>
      <c r="H431" s="3790"/>
      <c r="I431" s="3790"/>
      <c r="J431" s="3790"/>
      <c r="K431" s="3790"/>
      <c r="L431" s="3790"/>
      <c r="M431" s="3790"/>
      <c r="N431" s="3791"/>
    </row>
    <row r="432" spans="2:14" ht="15">
      <c r="B432" s="3712" t="s">
        <v>811</v>
      </c>
      <c r="C432" s="3713"/>
      <c r="D432" s="3713"/>
      <c r="E432" s="3713"/>
      <c r="F432" s="3713"/>
      <c r="G432" s="3713"/>
      <c r="H432" s="3713"/>
      <c r="I432" s="3713"/>
      <c r="J432" s="3713"/>
      <c r="K432" s="3713"/>
      <c r="L432" s="3713"/>
      <c r="M432" s="3713"/>
      <c r="N432" s="3724"/>
    </row>
    <row r="433" spans="2:14" ht="15">
      <c r="B433" s="3712" t="s">
        <v>812</v>
      </c>
      <c r="C433" s="3713"/>
      <c r="D433" s="3713"/>
      <c r="E433" s="3713"/>
      <c r="F433" s="3713"/>
      <c r="G433" s="3713"/>
      <c r="H433" s="3713"/>
      <c r="I433" s="3713"/>
      <c r="J433" s="3713"/>
      <c r="K433" s="3713"/>
      <c r="L433" s="3713"/>
      <c r="M433" s="3713"/>
      <c r="N433" s="3724"/>
    </row>
    <row r="434" spans="2:14" ht="15">
      <c r="B434" s="3744" t="s">
        <v>813</v>
      </c>
      <c r="C434" s="3745"/>
      <c r="D434" s="3745"/>
      <c r="E434" s="3745"/>
      <c r="F434" s="3745"/>
      <c r="G434" s="3745"/>
      <c r="H434" s="3745"/>
      <c r="I434" s="3745"/>
      <c r="J434" s="3745"/>
      <c r="K434" s="3745"/>
      <c r="L434" s="3745"/>
      <c r="M434" s="3745"/>
      <c r="N434" s="3746"/>
    </row>
    <row r="435" spans="2:14" ht="15">
      <c r="B435" s="3747" t="s">
        <v>814</v>
      </c>
      <c r="C435" s="3748"/>
      <c r="D435" s="3748"/>
      <c r="E435" s="3748"/>
      <c r="F435" s="3748"/>
      <c r="G435" s="3748"/>
      <c r="H435" s="3748"/>
      <c r="I435" s="3748"/>
      <c r="J435" s="3748"/>
      <c r="K435" s="3748"/>
      <c r="L435" s="3748"/>
      <c r="M435" s="3748"/>
      <c r="N435" s="3749"/>
    </row>
    <row r="436" spans="2:14" ht="13.5" thickBot="1">
      <c r="B436" s="3750" t="s">
        <v>815</v>
      </c>
      <c r="C436" s="3751"/>
      <c r="D436" s="3751"/>
      <c r="E436" s="3751"/>
      <c r="F436" s="3751"/>
      <c r="G436" s="3751"/>
      <c r="H436" s="3751"/>
      <c r="I436" s="3751"/>
      <c r="J436" s="3751"/>
      <c r="K436" s="3751"/>
      <c r="L436" s="3751"/>
      <c r="M436" s="3751"/>
      <c r="N436" s="3752"/>
    </row>
    <row r="437" spans="2:14" ht="15.75" thickBot="1">
      <c r="B437" s="671"/>
      <c r="C437" s="671"/>
      <c r="D437" s="671"/>
      <c r="E437" s="671"/>
      <c r="F437" s="671"/>
      <c r="G437" s="671"/>
      <c r="H437" s="671"/>
      <c r="I437" s="671"/>
      <c r="J437" s="671"/>
      <c r="K437" s="671"/>
      <c r="L437" s="671"/>
      <c r="M437" s="671"/>
      <c r="N437" s="671"/>
    </row>
    <row r="438" spans="2:14" ht="15.75">
      <c r="B438" s="3753" t="s">
        <v>408</v>
      </c>
      <c r="C438" s="3754"/>
      <c r="D438" s="3754"/>
      <c r="E438" s="3754"/>
      <c r="F438" s="3754"/>
      <c r="G438" s="3754"/>
      <c r="H438" s="3754"/>
      <c r="I438" s="3754"/>
      <c r="J438" s="3754"/>
      <c r="K438" s="3754"/>
      <c r="L438" s="3754"/>
      <c r="M438" s="3754"/>
      <c r="N438" s="3755"/>
    </row>
    <row r="439" spans="2:14" ht="15">
      <c r="B439" s="3712" t="s">
        <v>816</v>
      </c>
      <c r="C439" s="3713"/>
      <c r="D439" s="3713"/>
      <c r="E439" s="3713"/>
      <c r="F439" s="3713"/>
      <c r="G439" s="3713"/>
      <c r="H439" s="3713"/>
      <c r="I439" s="3713"/>
      <c r="J439" s="3713"/>
      <c r="K439" s="3713"/>
      <c r="L439" s="3713"/>
      <c r="M439" s="3713"/>
      <c r="N439" s="3714"/>
    </row>
    <row r="440" spans="2:14" ht="15">
      <c r="B440" s="3715" t="s">
        <v>817</v>
      </c>
      <c r="C440" s="3716"/>
      <c r="D440" s="3716"/>
      <c r="E440" s="3716"/>
      <c r="F440" s="3716"/>
      <c r="G440" s="3716"/>
      <c r="H440" s="3716"/>
      <c r="I440" s="3716"/>
      <c r="J440" s="3716"/>
      <c r="K440" s="3716"/>
      <c r="L440" s="3716"/>
      <c r="M440" s="3716"/>
      <c r="N440" s="3717"/>
    </row>
    <row r="441" spans="2:14" ht="15">
      <c r="B441" s="3715" t="s">
        <v>818</v>
      </c>
      <c r="C441" s="3716"/>
      <c r="D441" s="3716"/>
      <c r="E441" s="3716"/>
      <c r="F441" s="3716"/>
      <c r="G441" s="3716"/>
      <c r="H441" s="3716"/>
      <c r="I441" s="3716"/>
      <c r="J441" s="3716"/>
      <c r="K441" s="3716"/>
      <c r="L441" s="3716"/>
      <c r="M441" s="3716"/>
      <c r="N441" s="3717"/>
    </row>
    <row r="442" spans="2:14" ht="15">
      <c r="B442" s="3715" t="s">
        <v>819</v>
      </c>
      <c r="C442" s="3716"/>
      <c r="D442" s="3716"/>
      <c r="E442" s="3716"/>
      <c r="F442" s="3716"/>
      <c r="G442" s="3716"/>
      <c r="H442" s="3716"/>
      <c r="I442" s="3716"/>
      <c r="J442" s="3716"/>
      <c r="K442" s="3716"/>
      <c r="L442" s="3716"/>
      <c r="M442" s="3716"/>
      <c r="N442" s="3717"/>
    </row>
    <row r="443" spans="2:14" ht="15">
      <c r="B443" s="3715" t="s">
        <v>820</v>
      </c>
      <c r="C443" s="3716"/>
      <c r="D443" s="3716"/>
      <c r="E443" s="3716"/>
      <c r="F443" s="3716"/>
      <c r="G443" s="3716"/>
      <c r="H443" s="3716"/>
      <c r="I443" s="3716"/>
      <c r="J443" s="3716"/>
      <c r="K443" s="3716"/>
      <c r="L443" s="3716"/>
      <c r="M443" s="3716"/>
      <c r="N443" s="3717"/>
    </row>
    <row r="444" spans="2:14" ht="15">
      <c r="B444" s="3715" t="s">
        <v>821</v>
      </c>
      <c r="C444" s="3716"/>
      <c r="D444" s="3716"/>
      <c r="E444" s="3716"/>
      <c r="F444" s="3716"/>
      <c r="G444" s="3716"/>
      <c r="H444" s="3716"/>
      <c r="I444" s="3716"/>
      <c r="J444" s="3716"/>
      <c r="K444" s="3716"/>
      <c r="L444" s="3716"/>
      <c r="M444" s="3716"/>
      <c r="N444" s="3717"/>
    </row>
    <row r="445" spans="2:14" ht="15">
      <c r="B445" s="3715" t="s">
        <v>822</v>
      </c>
      <c r="C445" s="3716"/>
      <c r="D445" s="3716"/>
      <c r="E445" s="3716"/>
      <c r="F445" s="3716"/>
      <c r="G445" s="3716"/>
      <c r="H445" s="3716"/>
      <c r="I445" s="3716"/>
      <c r="J445" s="3716"/>
      <c r="K445" s="3716"/>
      <c r="L445" s="3716"/>
      <c r="M445" s="3716"/>
      <c r="N445" s="3717"/>
    </row>
    <row r="446" spans="2:14" ht="12.75">
      <c r="B446" s="3728" t="s">
        <v>823</v>
      </c>
      <c r="C446" s="3729"/>
      <c r="D446" s="3729"/>
      <c r="E446" s="3729"/>
      <c r="F446" s="3729"/>
      <c r="G446" s="3729"/>
      <c r="H446" s="3729"/>
      <c r="I446" s="3729"/>
      <c r="J446" s="3729"/>
      <c r="K446" s="3729"/>
      <c r="L446" s="3729"/>
      <c r="M446" s="3729"/>
      <c r="N446" s="3730"/>
    </row>
    <row r="447" spans="2:14" ht="12.75">
      <c r="B447" s="3728" t="s">
        <v>824</v>
      </c>
      <c r="C447" s="3729"/>
      <c r="D447" s="3729"/>
      <c r="E447" s="3729"/>
      <c r="F447" s="3729"/>
      <c r="G447" s="3729"/>
      <c r="H447" s="3729"/>
      <c r="I447" s="3729"/>
      <c r="J447" s="3729"/>
      <c r="K447" s="3729"/>
      <c r="L447" s="3729"/>
      <c r="M447" s="3729"/>
      <c r="N447" s="3730"/>
    </row>
    <row r="448" spans="2:14" ht="15.75" thickBot="1">
      <c r="B448" s="3731" t="s">
        <v>825</v>
      </c>
      <c r="C448" s="3732"/>
      <c r="D448" s="3732"/>
      <c r="E448" s="3732"/>
      <c r="F448" s="3732"/>
      <c r="G448" s="3732"/>
      <c r="H448" s="3732"/>
      <c r="I448" s="3732"/>
      <c r="J448" s="3732"/>
      <c r="K448" s="3732"/>
      <c r="L448" s="3732"/>
      <c r="M448" s="3732"/>
      <c r="N448" s="3733"/>
    </row>
    <row r="449" spans="2:14" ht="12" thickBot="1"/>
    <row r="450" spans="2:14" ht="15.75">
      <c r="B450" s="3739" t="s">
        <v>409</v>
      </c>
      <c r="C450" s="3740"/>
      <c r="D450" s="3740"/>
      <c r="E450" s="3740"/>
      <c r="F450" s="3740"/>
      <c r="G450" s="3740"/>
      <c r="H450" s="3740"/>
      <c r="I450" s="3740"/>
      <c r="J450" s="3740"/>
      <c r="K450" s="3740"/>
      <c r="L450" s="3740"/>
      <c r="M450" s="3740"/>
      <c r="N450" s="3741"/>
    </row>
    <row r="451" spans="2:14" ht="15">
      <c r="B451" s="3712" t="s">
        <v>842</v>
      </c>
      <c r="C451" s="3713"/>
      <c r="D451" s="3713"/>
      <c r="E451" s="3713"/>
      <c r="F451" s="3713"/>
      <c r="G451" s="3713"/>
      <c r="H451" s="3713"/>
      <c r="I451" s="3713"/>
      <c r="J451" s="3713"/>
      <c r="K451" s="3713"/>
      <c r="L451" s="3713"/>
      <c r="M451" s="3713"/>
      <c r="N451" s="3714"/>
    </row>
    <row r="452" spans="2:14" ht="15">
      <c r="B452" s="3725" t="s">
        <v>843</v>
      </c>
      <c r="C452" s="3726"/>
      <c r="D452" s="3726"/>
      <c r="E452" s="3726"/>
      <c r="F452" s="3726"/>
      <c r="G452" s="3726"/>
      <c r="H452" s="3726"/>
      <c r="I452" s="3726"/>
      <c r="J452" s="3726"/>
      <c r="K452" s="3726"/>
      <c r="L452" s="3726"/>
      <c r="M452" s="3726"/>
      <c r="N452" s="3742"/>
    </row>
    <row r="453" spans="2:14" ht="15">
      <c r="B453" s="3725" t="s">
        <v>844</v>
      </c>
      <c r="C453" s="3726"/>
      <c r="D453" s="3726"/>
      <c r="E453" s="3726"/>
      <c r="F453" s="3726"/>
      <c r="G453" s="3726"/>
      <c r="H453" s="3726"/>
      <c r="I453" s="3726"/>
      <c r="J453" s="3726"/>
      <c r="K453" s="3726"/>
      <c r="L453" s="3726"/>
      <c r="M453" s="3726"/>
      <c r="N453" s="3742"/>
    </row>
    <row r="454" spans="2:14" ht="15">
      <c r="B454" s="3725" t="s">
        <v>845</v>
      </c>
      <c r="C454" s="3726"/>
      <c r="D454" s="3726"/>
      <c r="E454" s="3726"/>
      <c r="F454" s="3726"/>
      <c r="G454" s="3726"/>
      <c r="H454" s="3726"/>
      <c r="I454" s="3726"/>
      <c r="J454" s="3726"/>
      <c r="K454" s="3726"/>
      <c r="L454" s="3726"/>
      <c r="M454" s="3726"/>
      <c r="N454" s="3742"/>
    </row>
    <row r="455" spans="2:14" ht="15">
      <c r="B455" s="3734" t="s">
        <v>846</v>
      </c>
      <c r="C455" s="3735"/>
      <c r="D455" s="3735"/>
      <c r="E455" s="3735"/>
      <c r="F455" s="3735"/>
      <c r="G455" s="3735"/>
      <c r="H455" s="3735"/>
      <c r="I455" s="3735"/>
      <c r="J455" s="3735"/>
      <c r="K455" s="3735"/>
      <c r="L455" s="3735"/>
      <c r="M455" s="3735"/>
      <c r="N455" s="3743"/>
    </row>
    <row r="456" spans="2:14" ht="15">
      <c r="B456" s="3734" t="s">
        <v>847</v>
      </c>
      <c r="C456" s="3735"/>
      <c r="D456" s="3735"/>
      <c r="E456" s="3735"/>
      <c r="F456" s="3735"/>
      <c r="G456" s="3735"/>
      <c r="H456" s="3735"/>
      <c r="I456" s="3735"/>
      <c r="J456" s="3735"/>
      <c r="K456" s="3735"/>
      <c r="L456" s="3735"/>
      <c r="M456" s="3735"/>
      <c r="N456" s="3743"/>
    </row>
    <row r="457" spans="2:14" ht="15">
      <c r="B457" s="3725" t="s">
        <v>848</v>
      </c>
      <c r="C457" s="3726"/>
      <c r="D457" s="3726"/>
      <c r="E457" s="3726"/>
      <c r="F457" s="3726"/>
      <c r="G457" s="3726"/>
      <c r="H457" s="3726"/>
      <c r="I457" s="3726"/>
      <c r="J457" s="3726"/>
      <c r="K457" s="3726"/>
      <c r="L457" s="3726"/>
      <c r="M457" s="3726"/>
      <c r="N457" s="3742"/>
    </row>
    <row r="458" spans="2:14" ht="15">
      <c r="B458" s="3734" t="s">
        <v>849</v>
      </c>
      <c r="C458" s="3735"/>
      <c r="D458" s="3735"/>
      <c r="E458" s="3735"/>
      <c r="F458" s="3735"/>
      <c r="G458" s="3735"/>
      <c r="H458" s="3735"/>
      <c r="I458" s="3735"/>
      <c r="J458" s="3735"/>
      <c r="K458" s="3735"/>
      <c r="L458" s="3735"/>
      <c r="M458" s="3735"/>
      <c r="N458" s="3743"/>
    </row>
    <row r="459" spans="2:14" ht="15">
      <c r="B459" s="3734" t="s">
        <v>850</v>
      </c>
      <c r="C459" s="3735"/>
      <c r="D459" s="3735"/>
      <c r="E459" s="3735"/>
      <c r="F459" s="3735"/>
      <c r="G459" s="3735"/>
      <c r="H459" s="3735"/>
      <c r="I459" s="3735"/>
      <c r="J459" s="2612"/>
      <c r="K459" s="2612"/>
      <c r="L459" s="2612"/>
      <c r="M459" s="2612"/>
      <c r="N459" s="2613"/>
    </row>
    <row r="460" spans="2:14" ht="15">
      <c r="B460" s="3734" t="s">
        <v>851</v>
      </c>
      <c r="C460" s="3735"/>
      <c r="D460" s="3735"/>
      <c r="E460" s="3735"/>
      <c r="F460" s="3735"/>
      <c r="G460" s="3735"/>
      <c r="H460" s="3735"/>
      <c r="I460" s="3735"/>
      <c r="J460" s="3735"/>
      <c r="K460" s="3735"/>
      <c r="L460" s="2612"/>
      <c r="M460" s="2612"/>
      <c r="N460" s="2613"/>
    </row>
    <row r="461" spans="2:14" ht="15">
      <c r="B461" s="3734" t="s">
        <v>852</v>
      </c>
      <c r="C461" s="3735"/>
      <c r="D461" s="3735"/>
      <c r="E461" s="3735"/>
      <c r="F461" s="3735"/>
      <c r="G461" s="3735"/>
      <c r="H461" s="3735"/>
      <c r="I461" s="3735"/>
      <c r="J461" s="3735"/>
      <c r="K461" s="3735"/>
      <c r="L461" s="3735"/>
      <c r="M461" s="2612"/>
      <c r="N461" s="2613"/>
    </row>
    <row r="462" spans="2:14" ht="15">
      <c r="B462" s="3734" t="s">
        <v>853</v>
      </c>
      <c r="C462" s="3735"/>
      <c r="D462" s="3735"/>
      <c r="E462" s="3735"/>
      <c r="F462" s="3735"/>
      <c r="G462" s="3735"/>
      <c r="H462" s="3735"/>
      <c r="I462" s="2612"/>
      <c r="J462" s="2612"/>
      <c r="K462" s="2612"/>
      <c r="L462" s="2612"/>
      <c r="M462" s="2612"/>
      <c r="N462" s="2613"/>
    </row>
    <row r="463" spans="2:14" ht="15">
      <c r="B463" s="3734" t="s">
        <v>854</v>
      </c>
      <c r="C463" s="3735"/>
      <c r="D463" s="3735"/>
      <c r="E463" s="3735"/>
      <c r="F463" s="3735"/>
      <c r="G463" s="3735"/>
      <c r="H463" s="3735"/>
      <c r="I463" s="3735"/>
      <c r="J463" s="3735"/>
      <c r="K463" s="2612"/>
      <c r="L463" s="2612"/>
      <c r="M463" s="2612"/>
      <c r="N463" s="2613"/>
    </row>
    <row r="464" spans="2:14" ht="15.75" thickBot="1">
      <c r="B464" s="3736"/>
      <c r="C464" s="3737"/>
      <c r="D464" s="3737"/>
      <c r="E464" s="3737"/>
      <c r="F464" s="3737"/>
      <c r="G464" s="3737"/>
      <c r="H464" s="3737"/>
      <c r="I464" s="3737"/>
      <c r="J464" s="3737"/>
      <c r="K464" s="3737"/>
      <c r="L464" s="3737"/>
      <c r="M464" s="3737"/>
      <c r="N464" s="3738"/>
    </row>
    <row r="466" spans="2:14" ht="15.75">
      <c r="B466" s="3721" t="s">
        <v>420</v>
      </c>
      <c r="C466" s="3722"/>
      <c r="D466" s="3722"/>
      <c r="E466" s="3722"/>
      <c r="F466" s="3722"/>
      <c r="G466" s="3722"/>
      <c r="H466" s="3722"/>
      <c r="I466" s="3722"/>
      <c r="J466" s="3722"/>
      <c r="K466" s="3722"/>
      <c r="L466" s="3722"/>
      <c r="M466" s="3722"/>
      <c r="N466" s="3723"/>
    </row>
    <row r="467" spans="2:14" ht="15">
      <c r="B467" s="3712" t="s">
        <v>859</v>
      </c>
      <c r="C467" s="3713"/>
      <c r="D467" s="3713"/>
      <c r="E467" s="3713"/>
      <c r="F467" s="3713"/>
      <c r="G467" s="3713"/>
      <c r="H467" s="3713"/>
      <c r="I467" s="3713"/>
      <c r="J467" s="3713"/>
      <c r="K467" s="3713"/>
      <c r="L467" s="3713"/>
      <c r="M467" s="3713"/>
      <c r="N467" s="3724"/>
    </row>
    <row r="468" spans="2:14" ht="15">
      <c r="B468" s="3725" t="s">
        <v>860</v>
      </c>
      <c r="C468" s="3726"/>
      <c r="D468" s="3726"/>
      <c r="E468" s="3726"/>
      <c r="F468" s="3726"/>
      <c r="G468" s="3726"/>
      <c r="H468" s="3726"/>
      <c r="I468" s="3726"/>
      <c r="J468" s="3726"/>
      <c r="K468" s="3726"/>
      <c r="L468" s="3726"/>
      <c r="M468" s="3726"/>
      <c r="N468" s="3727"/>
    </row>
    <row r="469" spans="2:14" ht="12" thickBot="1"/>
    <row r="470" spans="2:14" ht="16.5" thickBot="1">
      <c r="B470" s="3706" t="s">
        <v>425</v>
      </c>
      <c r="C470" s="3707"/>
      <c r="D470" s="3707"/>
      <c r="E470" s="3707"/>
      <c r="F470" s="3707"/>
      <c r="G470" s="3707"/>
      <c r="H470" s="3707"/>
      <c r="I470" s="3707"/>
      <c r="J470" s="3707"/>
      <c r="K470" s="3707"/>
      <c r="L470" s="3707"/>
      <c r="M470" s="3707"/>
      <c r="N470" s="3708"/>
    </row>
    <row r="471" spans="2:14" ht="15">
      <c r="B471" s="3709" t="s">
        <v>865</v>
      </c>
      <c r="C471" s="3710"/>
      <c r="D471" s="3710"/>
      <c r="E471" s="3710"/>
      <c r="F471" s="3710"/>
      <c r="G471" s="3710"/>
      <c r="H471" s="3710"/>
      <c r="I471" s="3710"/>
      <c r="J471" s="3710"/>
      <c r="K471" s="3710"/>
      <c r="L471" s="3710"/>
      <c r="M471" s="3710"/>
      <c r="N471" s="3711"/>
    </row>
    <row r="472" spans="2:14" ht="15">
      <c r="B472" s="3712" t="s">
        <v>866</v>
      </c>
      <c r="C472" s="3713"/>
      <c r="D472" s="3713"/>
      <c r="E472" s="3713"/>
      <c r="F472" s="3713"/>
      <c r="G472" s="3713"/>
      <c r="H472" s="3713"/>
      <c r="I472" s="3713"/>
      <c r="J472" s="3713"/>
      <c r="K472" s="3713"/>
      <c r="L472" s="3713"/>
      <c r="M472" s="3713"/>
      <c r="N472" s="3714"/>
    </row>
    <row r="473" spans="2:14" ht="15">
      <c r="B473" s="3715" t="s">
        <v>867</v>
      </c>
      <c r="C473" s="3716"/>
      <c r="D473" s="3716"/>
      <c r="E473" s="3716"/>
      <c r="F473" s="3716"/>
      <c r="G473" s="3716"/>
      <c r="H473" s="3716"/>
      <c r="I473" s="3716"/>
      <c r="J473" s="3716"/>
      <c r="K473" s="3716"/>
      <c r="L473" s="3716"/>
      <c r="M473" s="3716"/>
      <c r="N473" s="3717"/>
    </row>
    <row r="474" spans="2:14" ht="15.75" thickBot="1">
      <c r="B474" s="3718"/>
      <c r="C474" s="3719"/>
      <c r="D474" s="3719"/>
      <c r="E474" s="3719"/>
      <c r="F474" s="3719"/>
      <c r="G474" s="3719"/>
      <c r="H474" s="3719"/>
      <c r="I474" s="3719"/>
      <c r="J474" s="3719"/>
      <c r="K474" s="3719"/>
      <c r="L474" s="3719"/>
      <c r="M474" s="3719"/>
      <c r="N474" s="3720"/>
    </row>
    <row r="476" spans="2:14" ht="16.5" thickBot="1">
      <c r="B476" s="3795" t="s">
        <v>431</v>
      </c>
      <c r="C476" s="3796"/>
      <c r="D476" s="3796"/>
      <c r="E476" s="3796"/>
      <c r="F476" s="3796"/>
      <c r="G476" s="3796"/>
      <c r="H476" s="3796"/>
      <c r="I476" s="3796"/>
      <c r="J476" s="3796"/>
      <c r="K476" s="3796"/>
      <c r="L476" s="3796"/>
      <c r="M476" s="3796"/>
      <c r="N476" s="3797"/>
    </row>
    <row r="477" spans="2:14" ht="15">
      <c r="B477" s="3782" t="s">
        <v>879</v>
      </c>
      <c r="C477" s="3783"/>
      <c r="D477" s="3783"/>
      <c r="E477" s="3783"/>
      <c r="F477" s="3783"/>
      <c r="G477" s="3783"/>
      <c r="H477" s="3783"/>
      <c r="I477" s="3783"/>
      <c r="J477" s="3783"/>
      <c r="K477" s="3783"/>
      <c r="L477" s="3783"/>
      <c r="M477" s="3783"/>
      <c r="N477" s="3784"/>
    </row>
    <row r="478" spans="2:14" ht="15">
      <c r="B478" s="3999"/>
      <c r="C478" s="4000"/>
      <c r="D478" s="4000"/>
      <c r="E478" s="4000"/>
      <c r="F478" s="4000"/>
      <c r="G478" s="4000"/>
      <c r="H478" s="4000"/>
      <c r="I478" s="4000"/>
      <c r="J478" s="4000"/>
      <c r="K478" s="4000"/>
      <c r="L478" s="4000"/>
      <c r="M478" s="4000"/>
      <c r="N478" s="4001"/>
    </row>
    <row r="479" spans="2:14" ht="15">
      <c r="B479" s="3712"/>
      <c r="C479" s="3713"/>
      <c r="D479" s="3713"/>
      <c r="E479" s="3713"/>
      <c r="F479" s="3713"/>
      <c r="G479" s="3713"/>
      <c r="H479" s="3713"/>
      <c r="I479" s="3713"/>
      <c r="J479" s="3713"/>
      <c r="K479" s="3713"/>
      <c r="L479" s="3713"/>
      <c r="M479" s="3713"/>
      <c r="N479" s="3714"/>
    </row>
    <row r="480" spans="2:14" ht="15">
      <c r="B480" s="3712"/>
      <c r="C480" s="3713"/>
      <c r="D480" s="3713"/>
      <c r="E480" s="3713"/>
      <c r="F480" s="3713"/>
      <c r="G480" s="3713"/>
      <c r="H480" s="3713"/>
      <c r="I480" s="3713"/>
      <c r="J480" s="3713"/>
      <c r="K480" s="3713"/>
      <c r="L480" s="3713"/>
      <c r="M480" s="3713"/>
      <c r="N480" s="3714"/>
    </row>
    <row r="481" spans="2:14" ht="15">
      <c r="B481" s="3999"/>
      <c r="C481" s="4000"/>
      <c r="D481" s="4000"/>
      <c r="E481" s="4000"/>
      <c r="F481" s="4000"/>
      <c r="G481" s="4000"/>
      <c r="H481" s="4000"/>
      <c r="I481" s="4000"/>
      <c r="J481" s="4000"/>
      <c r="K481" s="4000"/>
      <c r="L481" s="4000"/>
      <c r="M481" s="4000"/>
      <c r="N481" s="4001"/>
    </row>
    <row r="483" spans="2:14" ht="16.5" thickBot="1">
      <c r="B483" s="4008" t="s">
        <v>468</v>
      </c>
      <c r="C483" s="4009"/>
      <c r="D483" s="4009"/>
      <c r="E483" s="4009"/>
      <c r="F483" s="4009"/>
      <c r="G483" s="4009"/>
      <c r="H483" s="4009"/>
      <c r="I483" s="4009"/>
      <c r="J483" s="4009"/>
      <c r="K483" s="4009"/>
      <c r="L483" s="4009"/>
      <c r="M483" s="4009"/>
      <c r="N483" s="4010"/>
    </row>
    <row r="484" spans="2:14" ht="15">
      <c r="B484" s="4005" t="s">
        <v>880</v>
      </c>
      <c r="C484" s="4006"/>
      <c r="D484" s="4006"/>
      <c r="E484" s="4006"/>
      <c r="F484" s="4006"/>
      <c r="G484" s="4006"/>
      <c r="H484" s="4006"/>
      <c r="I484" s="4006"/>
      <c r="J484" s="4006"/>
      <c r="K484" s="4006"/>
      <c r="L484" s="4006"/>
      <c r="M484" s="4006"/>
      <c r="N484" s="4007"/>
    </row>
    <row r="485" spans="2:14" ht="15">
      <c r="B485" s="3785" t="s">
        <v>881</v>
      </c>
      <c r="C485" s="3786"/>
      <c r="D485" s="3786"/>
      <c r="E485" s="3786"/>
      <c r="F485" s="3786"/>
      <c r="G485" s="3786"/>
      <c r="H485" s="3786"/>
      <c r="I485" s="3786"/>
      <c r="J485" s="3786"/>
      <c r="K485" s="3786"/>
      <c r="L485" s="3786"/>
      <c r="M485" s="3786"/>
      <c r="N485" s="3787"/>
    </row>
    <row r="486" spans="2:14" ht="15">
      <c r="B486" s="3785" t="s">
        <v>882</v>
      </c>
      <c r="C486" s="3786"/>
      <c r="D486" s="3786"/>
      <c r="E486" s="3786"/>
      <c r="F486" s="3786"/>
      <c r="G486" s="3786"/>
      <c r="H486" s="3786"/>
      <c r="I486" s="3786"/>
      <c r="J486" s="3786"/>
      <c r="K486" s="3786"/>
      <c r="L486" s="3786"/>
      <c r="M486" s="3786"/>
      <c r="N486" s="3787"/>
    </row>
    <row r="487" spans="2:14" ht="15">
      <c r="B487" s="3785" t="s">
        <v>883</v>
      </c>
      <c r="C487" s="3786"/>
      <c r="D487" s="3786"/>
      <c r="E487" s="3786"/>
      <c r="F487" s="3786"/>
      <c r="G487" s="3786"/>
      <c r="H487" s="3786"/>
      <c r="I487" s="3786"/>
      <c r="J487" s="3786"/>
      <c r="K487" s="3786"/>
      <c r="L487" s="3786"/>
      <c r="M487" s="3786"/>
      <c r="N487" s="3787"/>
    </row>
    <row r="488" spans="2:14" ht="15">
      <c r="B488" s="3785" t="s">
        <v>884</v>
      </c>
      <c r="C488" s="3786"/>
      <c r="D488" s="3786"/>
      <c r="E488" s="3786"/>
      <c r="F488" s="3786"/>
      <c r="G488" s="3786"/>
      <c r="H488" s="3786"/>
      <c r="I488" s="3786"/>
      <c r="J488" s="3786"/>
      <c r="K488" s="3786"/>
      <c r="L488" s="3786"/>
      <c r="M488" s="3786"/>
      <c r="N488" s="3787"/>
    </row>
    <row r="489" spans="2:14" ht="15">
      <c r="B489" s="3792" t="s">
        <v>885</v>
      </c>
      <c r="C489" s="3793"/>
      <c r="D489" s="3793"/>
      <c r="E489" s="3793"/>
      <c r="F489" s="3793"/>
      <c r="G489" s="3793"/>
      <c r="H489" s="3793"/>
      <c r="I489" s="3793"/>
      <c r="J489" s="3793"/>
      <c r="K489" s="3793"/>
      <c r="L489" s="3793"/>
      <c r="M489" s="3793"/>
      <c r="N489" s="3794"/>
    </row>
    <row r="490" spans="2:14" ht="15">
      <c r="B490" s="4002" t="s">
        <v>886</v>
      </c>
      <c r="C490" s="4003"/>
      <c r="D490" s="4003"/>
      <c r="E490" s="4003"/>
      <c r="F490" s="4003"/>
      <c r="G490" s="4003"/>
      <c r="H490" s="4003"/>
      <c r="I490" s="4003"/>
      <c r="J490" s="4003"/>
      <c r="K490" s="4003"/>
      <c r="L490" s="4003"/>
      <c r="M490" s="4003"/>
      <c r="N490" s="4004"/>
    </row>
  </sheetData>
  <mergeCells count="373">
    <mergeCell ref="B356:N356"/>
    <mergeCell ref="B357:N357"/>
    <mergeCell ref="B358:N358"/>
    <mergeCell ref="B359:N359"/>
    <mergeCell ref="B360:N360"/>
    <mergeCell ref="B361:N361"/>
    <mergeCell ref="B362:N362"/>
    <mergeCell ref="B363:N363"/>
    <mergeCell ref="B476:N476"/>
    <mergeCell ref="B428:N428"/>
    <mergeCell ref="B432:N432"/>
    <mergeCell ref="B409:N409"/>
    <mergeCell ref="B410:N410"/>
    <mergeCell ref="B411:N411"/>
    <mergeCell ref="B488:N488"/>
    <mergeCell ref="B489:N489"/>
    <mergeCell ref="B490:N490"/>
    <mergeCell ref="B484:N484"/>
    <mergeCell ref="B483:N483"/>
    <mergeCell ref="B485:N485"/>
    <mergeCell ref="B486:N486"/>
    <mergeCell ref="B487:N487"/>
    <mergeCell ref="B477:N477"/>
    <mergeCell ref="B478:N478"/>
    <mergeCell ref="B479:N479"/>
    <mergeCell ref="B480:N480"/>
    <mergeCell ref="B481:N481"/>
    <mergeCell ref="B430:N430"/>
    <mergeCell ref="B431:N431"/>
    <mergeCell ref="B454:N454"/>
    <mergeCell ref="B455:N455"/>
    <mergeCell ref="B335:N335"/>
    <mergeCell ref="B336:N336"/>
    <mergeCell ref="B337:N337"/>
    <mergeCell ref="B338:N338"/>
    <mergeCell ref="B339:N339"/>
    <mergeCell ref="B346:N346"/>
    <mergeCell ref="B340:N340"/>
    <mergeCell ref="B343:N343"/>
    <mergeCell ref="B344:N344"/>
    <mergeCell ref="B341:N341"/>
    <mergeCell ref="B345:N345"/>
    <mergeCell ref="B350:N350"/>
    <mergeCell ref="B351:N351"/>
    <mergeCell ref="B348:N348"/>
    <mergeCell ref="B352:N352"/>
    <mergeCell ref="B353:N353"/>
    <mergeCell ref="B349:N349"/>
    <mergeCell ref="B354:N354"/>
    <mergeCell ref="B421:N421"/>
    <mergeCell ref="B406:N406"/>
    <mergeCell ref="B208:N208"/>
    <mergeCell ref="B209:N209"/>
    <mergeCell ref="B212:N212"/>
    <mergeCell ref="B213:N213"/>
    <mergeCell ref="B217:N217"/>
    <mergeCell ref="B222:N222"/>
    <mergeCell ref="B228:N228"/>
    <mergeCell ref="B238:N238"/>
    <mergeCell ref="B239:N239"/>
    <mergeCell ref="B232:N232"/>
    <mergeCell ref="B214:N214"/>
    <mergeCell ref="B210:N210"/>
    <mergeCell ref="B211:N211"/>
    <mergeCell ref="B250:N250"/>
    <mergeCell ref="B251:N251"/>
    <mergeCell ref="B253:N253"/>
    <mergeCell ref="B252:N252"/>
    <mergeCell ref="B268:N268"/>
    <mergeCell ref="B273:N273"/>
    <mergeCell ref="B276:N276"/>
    <mergeCell ref="B279:N279"/>
    <mergeCell ref="B281:N281"/>
    <mergeCell ref="B271:N271"/>
    <mergeCell ref="B275:N275"/>
    <mergeCell ref="B274:N274"/>
    <mergeCell ref="B277:N277"/>
    <mergeCell ref="B278:N278"/>
    <mergeCell ref="B263:N263"/>
    <mergeCell ref="B265:N265"/>
    <mergeCell ref="B266:N266"/>
    <mergeCell ref="B267:N267"/>
    <mergeCell ref="B270:N270"/>
    <mergeCell ref="B269:N269"/>
    <mergeCell ref="B254:N254"/>
    <mergeCell ref="B255:N255"/>
    <mergeCell ref="B256:N256"/>
    <mergeCell ref="B257:N257"/>
    <mergeCell ref="B289:N289"/>
    <mergeCell ref="B294:N294"/>
    <mergeCell ref="B295:N295"/>
    <mergeCell ref="B296:N296"/>
    <mergeCell ref="B299:N299"/>
    <mergeCell ref="B290:N290"/>
    <mergeCell ref="B291:N291"/>
    <mergeCell ref="B293:N293"/>
    <mergeCell ref="B280:N280"/>
    <mergeCell ref="B282:N282"/>
    <mergeCell ref="B283:N283"/>
    <mergeCell ref="B284:N284"/>
    <mergeCell ref="B285:N285"/>
    <mergeCell ref="B286:N286"/>
    <mergeCell ref="B287:N287"/>
    <mergeCell ref="B259:N259"/>
    <mergeCell ref="B260:N260"/>
    <mergeCell ref="B261:N261"/>
    <mergeCell ref="B262:N262"/>
    <mergeCell ref="B215:N215"/>
    <mergeCell ref="B216:N216"/>
    <mergeCell ref="B229:N229"/>
    <mergeCell ref="B230:N230"/>
    <mergeCell ref="B231:N231"/>
    <mergeCell ref="B233:N233"/>
    <mergeCell ref="B218:N218"/>
    <mergeCell ref="B220:N220"/>
    <mergeCell ref="B221:N221"/>
    <mergeCell ref="B223:N223"/>
    <mergeCell ref="B224:N224"/>
    <mergeCell ref="B219:N219"/>
    <mergeCell ref="B235:N235"/>
    <mergeCell ref="B225:N225"/>
    <mergeCell ref="B226:N226"/>
    <mergeCell ref="B227:N227"/>
    <mergeCell ref="B236:N236"/>
    <mergeCell ref="B237:N237"/>
    <mergeCell ref="B241:N241"/>
    <mergeCell ref="B244:N244"/>
    <mergeCell ref="B169:N169"/>
    <mergeCell ref="B174:N174"/>
    <mergeCell ref="B175:N175"/>
    <mergeCell ref="B176:N176"/>
    <mergeCell ref="B177:N177"/>
    <mergeCell ref="B178:N178"/>
    <mergeCell ref="B173:N173"/>
    <mergeCell ref="B198:N198"/>
    <mergeCell ref="B181:N182"/>
    <mergeCell ref="B183:N183"/>
    <mergeCell ref="B204:N204"/>
    <mergeCell ref="B184:N184"/>
    <mergeCell ref="B185:N185"/>
    <mergeCell ref="B186:N186"/>
    <mergeCell ref="B191:N191"/>
    <mergeCell ref="B192:N192"/>
    <mergeCell ref="B187:N187"/>
    <mergeCell ref="B188:N188"/>
    <mergeCell ref="B189:N189"/>
    <mergeCell ref="B190:N190"/>
    <mergeCell ref="B203:N203"/>
    <mergeCell ref="B201:N202"/>
    <mergeCell ref="B206:N206"/>
    <mergeCell ref="B109:N109"/>
    <mergeCell ref="B110:N110"/>
    <mergeCell ref="B111:N111"/>
    <mergeCell ref="B116:N116"/>
    <mergeCell ref="B167:N168"/>
    <mergeCell ref="B170:N170"/>
    <mergeCell ref="B171:N171"/>
    <mergeCell ref="B172:N172"/>
    <mergeCell ref="B112:N112"/>
    <mergeCell ref="B113:N113"/>
    <mergeCell ref="B114:N114"/>
    <mergeCell ref="B145:N145"/>
    <mergeCell ref="B146:N146"/>
    <mergeCell ref="B140:N140"/>
    <mergeCell ref="B141:N141"/>
    <mergeCell ref="B142:N142"/>
    <mergeCell ref="B144:N144"/>
    <mergeCell ref="B148:N148"/>
    <mergeCell ref="B194:N194"/>
    <mergeCell ref="B197:G197"/>
    <mergeCell ref="B121:N121"/>
    <mergeCell ref="B195:N195"/>
    <mergeCell ref="B196:N196"/>
    <mergeCell ref="B86:N86"/>
    <mergeCell ref="B119:N119"/>
    <mergeCell ref="B120:N120"/>
    <mergeCell ref="B87:N87"/>
    <mergeCell ref="B88:N88"/>
    <mergeCell ref="B90:N90"/>
    <mergeCell ref="B91:N91"/>
    <mergeCell ref="B92:N92"/>
    <mergeCell ref="B93:N93"/>
    <mergeCell ref="B94:N94"/>
    <mergeCell ref="B95:N95"/>
    <mergeCell ref="B96:N97"/>
    <mergeCell ref="B98:N98"/>
    <mergeCell ref="B99:N99"/>
    <mergeCell ref="B105:N105"/>
    <mergeCell ref="B107:N107"/>
    <mergeCell ref="B108:N108"/>
    <mergeCell ref="B100:N100"/>
    <mergeCell ref="B101:N101"/>
    <mergeCell ref="B102:N102"/>
    <mergeCell ref="B126:N126"/>
    <mergeCell ref="B123:N123"/>
    <mergeCell ref="B133:N133"/>
    <mergeCell ref="B127:N127"/>
    <mergeCell ref="B130:N130"/>
    <mergeCell ref="B131:N131"/>
    <mergeCell ref="B132:N132"/>
    <mergeCell ref="B128:N129"/>
    <mergeCell ref="B122:N122"/>
    <mergeCell ref="B151:N151"/>
    <mergeCell ref="B193:G193"/>
    <mergeCell ref="B61:N61"/>
    <mergeCell ref="B62:N62"/>
    <mergeCell ref="B63:N63"/>
    <mergeCell ref="B64:N65"/>
    <mergeCell ref="B66:N66"/>
    <mergeCell ref="B85:N85"/>
    <mergeCell ref="B82:N82"/>
    <mergeCell ref="B83:N83"/>
    <mergeCell ref="B84:N84"/>
    <mergeCell ref="B77:N77"/>
    <mergeCell ref="B78:N78"/>
    <mergeCell ref="B79:N79"/>
    <mergeCell ref="B80:N80"/>
    <mergeCell ref="B81:N81"/>
    <mergeCell ref="B71:N71"/>
    <mergeCell ref="B72:N72"/>
    <mergeCell ref="B103:N103"/>
    <mergeCell ref="B104:N104"/>
    <mergeCell ref="B117:N117"/>
    <mergeCell ref="B118:N118"/>
    <mergeCell ref="B124:N124"/>
    <mergeCell ref="B125:N125"/>
    <mergeCell ref="B75:N75"/>
    <mergeCell ref="B2:N2"/>
    <mergeCell ref="B3:C3"/>
    <mergeCell ref="B4:C4"/>
    <mergeCell ref="D4:N4"/>
    <mergeCell ref="B6:C6"/>
    <mergeCell ref="D6:N6"/>
    <mergeCell ref="B7:C7"/>
    <mergeCell ref="D7:N7"/>
    <mergeCell ref="B5:C5"/>
    <mergeCell ref="D5:N5"/>
    <mergeCell ref="D3:M3"/>
    <mergeCell ref="B149:N149"/>
    <mergeCell ref="B8:C8"/>
    <mergeCell ref="D8:N8"/>
    <mergeCell ref="B9:C9"/>
    <mergeCell ref="D9:N9"/>
    <mergeCell ref="B10:C10"/>
    <mergeCell ref="D10:N10"/>
    <mergeCell ref="B11:C11"/>
    <mergeCell ref="D11:N11"/>
    <mergeCell ref="B76:N76"/>
    <mergeCell ref="B67:N67"/>
    <mergeCell ref="B68:N68"/>
    <mergeCell ref="B12:C12"/>
    <mergeCell ref="D12:N12"/>
    <mergeCell ref="B13:C13"/>
    <mergeCell ref="D13:N13"/>
    <mergeCell ref="B14:C14"/>
    <mergeCell ref="D14:N14"/>
    <mergeCell ref="B57:N57"/>
    <mergeCell ref="B58:N58"/>
    <mergeCell ref="B59:N59"/>
    <mergeCell ref="B60:N60"/>
    <mergeCell ref="B69:N69"/>
    <mergeCell ref="B74:N74"/>
    <mergeCell ref="B245:N245"/>
    <mergeCell ref="B246:N246"/>
    <mergeCell ref="B247:N247"/>
    <mergeCell ref="B249:N249"/>
    <mergeCell ref="B242:N242"/>
    <mergeCell ref="B243:N243"/>
    <mergeCell ref="B135:N135"/>
    <mergeCell ref="B136:N136"/>
    <mergeCell ref="B137:N137"/>
    <mergeCell ref="B139:N139"/>
    <mergeCell ref="B162:N162"/>
    <mergeCell ref="B163:N163"/>
    <mergeCell ref="B164:N164"/>
    <mergeCell ref="B165:N165"/>
    <mergeCell ref="B157:N157"/>
    <mergeCell ref="B158:N158"/>
    <mergeCell ref="B159:N159"/>
    <mergeCell ref="B161:N161"/>
    <mergeCell ref="B152:N152"/>
    <mergeCell ref="B153:N153"/>
    <mergeCell ref="B154:N154"/>
    <mergeCell ref="B155:N155"/>
    <mergeCell ref="B156:N156"/>
    <mergeCell ref="B205:N205"/>
    <mergeCell ref="B300:N300"/>
    <mergeCell ref="B301:N301"/>
    <mergeCell ref="B302:N302"/>
    <mergeCell ref="B303:N303"/>
    <mergeCell ref="B304:N304"/>
    <mergeCell ref="B305:N305"/>
    <mergeCell ref="B306:N306"/>
    <mergeCell ref="B307:N307"/>
    <mergeCell ref="B308:N308"/>
    <mergeCell ref="B318:N318"/>
    <mergeCell ref="B319:N319"/>
    <mergeCell ref="B320:N320"/>
    <mergeCell ref="B321:N321"/>
    <mergeCell ref="B322:N322"/>
    <mergeCell ref="B325:N325"/>
    <mergeCell ref="B326:N326"/>
    <mergeCell ref="B327:N327"/>
    <mergeCell ref="B309:N309"/>
    <mergeCell ref="B310:N310"/>
    <mergeCell ref="B311:N311"/>
    <mergeCell ref="B312:N312"/>
    <mergeCell ref="B313:N313"/>
    <mergeCell ref="B314:N314"/>
    <mergeCell ref="B315:N315"/>
    <mergeCell ref="B316:N316"/>
    <mergeCell ref="B317:N317"/>
    <mergeCell ref="B323:N323"/>
    <mergeCell ref="B328:N328"/>
    <mergeCell ref="B330:N330"/>
    <mergeCell ref="B332:N332"/>
    <mergeCell ref="B333:N333"/>
    <mergeCell ref="B422:N422"/>
    <mergeCell ref="B423:N423"/>
    <mergeCell ref="B424:N424"/>
    <mergeCell ref="B426:N426"/>
    <mergeCell ref="B427:N427"/>
    <mergeCell ref="B331:N331"/>
    <mergeCell ref="B405:N405"/>
    <mergeCell ref="B407:N407"/>
    <mergeCell ref="B408:N408"/>
    <mergeCell ref="B420:N420"/>
    <mergeCell ref="B425:N425"/>
    <mergeCell ref="B412:N412"/>
    <mergeCell ref="B413:N413"/>
    <mergeCell ref="B414:N414"/>
    <mergeCell ref="B415:N415"/>
    <mergeCell ref="B416:N416"/>
    <mergeCell ref="B417:N417"/>
    <mergeCell ref="B418:N418"/>
    <mergeCell ref="B419:N419"/>
    <mergeCell ref="B347:N347"/>
    <mergeCell ref="B456:N456"/>
    <mergeCell ref="B457:N457"/>
    <mergeCell ref="B458:N458"/>
    <mergeCell ref="B433:N433"/>
    <mergeCell ref="B434:N434"/>
    <mergeCell ref="B435:N435"/>
    <mergeCell ref="B436:N436"/>
    <mergeCell ref="B438:N438"/>
    <mergeCell ref="B439:N439"/>
    <mergeCell ref="B440:N440"/>
    <mergeCell ref="B441:N441"/>
    <mergeCell ref="B442:N442"/>
    <mergeCell ref="B470:N470"/>
    <mergeCell ref="B471:N471"/>
    <mergeCell ref="B472:N472"/>
    <mergeCell ref="B473:N473"/>
    <mergeCell ref="B474:N474"/>
    <mergeCell ref="B466:N466"/>
    <mergeCell ref="B467:N467"/>
    <mergeCell ref="B468:N468"/>
    <mergeCell ref="B443:N443"/>
    <mergeCell ref="B444:N444"/>
    <mergeCell ref="B445:N445"/>
    <mergeCell ref="B446:N446"/>
    <mergeCell ref="B447:N447"/>
    <mergeCell ref="B448:N448"/>
    <mergeCell ref="B459:I459"/>
    <mergeCell ref="B460:K460"/>
    <mergeCell ref="B461:L461"/>
    <mergeCell ref="B462:H462"/>
    <mergeCell ref="B463:J463"/>
    <mergeCell ref="B464:N464"/>
    <mergeCell ref="B450:N450"/>
    <mergeCell ref="B451:N451"/>
    <mergeCell ref="B452:N452"/>
    <mergeCell ref="B453:N453"/>
  </mergeCells>
  <printOptions horizontalCentered="1" verticalCentered="1"/>
  <pageMargins left="0.70866141732283472" right="0.70866141732283472" top="0.74803149606299213" bottom="0.74803149606299213" header="0.31496062992125984" footer="0.31496062992125984"/>
  <pageSetup paperSize="9" scale="65" orientation="landscape" r:id="rId1"/>
  <ignoredErrors>
    <ignoredError sqref="L33:L35 E33:E48"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A1:S163"/>
  <sheetViews>
    <sheetView showGridLines="0" view="pageBreakPreview" topLeftCell="A25" zoomScale="55" zoomScaleNormal="55" zoomScaleSheetLayoutView="55" workbookViewId="0">
      <selection activeCell="P32" sqref="P32"/>
    </sheetView>
  </sheetViews>
  <sheetFormatPr baseColWidth="10" defaultRowHeight="11.25"/>
  <cols>
    <col min="1" max="1" width="1" customWidth="1"/>
    <col min="2" max="2" width="21.6640625" bestFit="1" customWidth="1"/>
    <col min="3" max="3" width="22" customWidth="1"/>
    <col min="4" max="4" width="20.5" customWidth="1"/>
    <col min="5" max="6" width="18.83203125" customWidth="1"/>
    <col min="7" max="8" width="19.33203125" customWidth="1"/>
    <col min="9" max="9" width="16.83203125" customWidth="1"/>
    <col min="10" max="10" width="20.5" customWidth="1"/>
    <col min="11" max="11" width="19.83203125" customWidth="1"/>
    <col min="12" max="12" width="18.5" customWidth="1"/>
    <col min="13" max="13" width="85.1640625" customWidth="1"/>
    <col min="14" max="14" width="17.6640625" customWidth="1"/>
  </cols>
  <sheetData>
    <row r="1" spans="2:14" ht="12" thickBot="1"/>
    <row r="2" spans="2:14" ht="29.25" customHeight="1">
      <c r="B2" s="4014" t="s">
        <v>7</v>
      </c>
      <c r="C2" s="4015"/>
      <c r="D2" s="4015"/>
      <c r="E2" s="4016"/>
      <c r="F2" s="4016"/>
      <c r="G2" s="4016"/>
      <c r="H2" s="4016"/>
      <c r="I2" s="4016"/>
      <c r="J2" s="4016"/>
      <c r="K2" s="4016"/>
      <c r="L2" s="4017"/>
      <c r="M2" s="4018"/>
    </row>
    <row r="3" spans="2:14" ht="31.5" customHeight="1">
      <c r="B3" s="4011" t="s">
        <v>58</v>
      </c>
      <c r="C3" s="4012"/>
      <c r="D3" s="4013"/>
      <c r="E3" s="3871" t="s">
        <v>639</v>
      </c>
      <c r="F3" s="3872"/>
      <c r="G3" s="3872"/>
      <c r="H3" s="3872"/>
      <c r="I3" s="3872"/>
      <c r="J3" s="3872"/>
      <c r="K3" s="3872"/>
      <c r="L3" s="3872"/>
      <c r="M3" s="4019"/>
    </row>
    <row r="4" spans="2:14" ht="80.25" customHeight="1">
      <c r="B4" s="848" t="s">
        <v>642</v>
      </c>
      <c r="C4" s="849"/>
      <c r="D4" s="844"/>
      <c r="E4" s="3868" t="s">
        <v>641</v>
      </c>
      <c r="F4" s="3868"/>
      <c r="G4" s="3868"/>
      <c r="H4" s="3868"/>
      <c r="I4" s="3868"/>
      <c r="J4" s="3868"/>
      <c r="K4" s="3868"/>
      <c r="L4" s="3869"/>
      <c r="M4" s="3870"/>
    </row>
    <row r="5" spans="2:14" ht="31.5" customHeight="1">
      <c r="B5" s="4011" t="s">
        <v>61</v>
      </c>
      <c r="C5" s="4012"/>
      <c r="D5" s="4013"/>
      <c r="E5" s="3868" t="s">
        <v>655</v>
      </c>
      <c r="F5" s="3868"/>
      <c r="G5" s="3868"/>
      <c r="H5" s="3868"/>
      <c r="I5" s="3868"/>
      <c r="J5" s="3868"/>
      <c r="K5" s="3868"/>
      <c r="L5" s="3869"/>
      <c r="M5" s="3870"/>
    </row>
    <row r="6" spans="2:14" ht="31.5" customHeight="1">
      <c r="B6" s="4011" t="s">
        <v>65</v>
      </c>
      <c r="C6" s="4012"/>
      <c r="D6" s="4013"/>
      <c r="E6" s="3842" t="s">
        <v>222</v>
      </c>
      <c r="F6" s="3842"/>
      <c r="G6" s="3842"/>
      <c r="H6" s="3842"/>
      <c r="I6" s="3842"/>
      <c r="J6" s="3842"/>
      <c r="K6" s="3842"/>
      <c r="L6" s="3843"/>
      <c r="M6" s="3844"/>
    </row>
    <row r="7" spans="2:14" ht="31.5" customHeight="1">
      <c r="B7" s="4011" t="s">
        <v>9</v>
      </c>
      <c r="C7" s="4012"/>
      <c r="D7" s="4013"/>
      <c r="E7" s="3842" t="s">
        <v>705</v>
      </c>
      <c r="F7" s="3842"/>
      <c r="G7" s="3842"/>
      <c r="H7" s="3842"/>
      <c r="I7" s="3842"/>
      <c r="J7" s="3842"/>
      <c r="K7" s="3842"/>
      <c r="L7" s="3843"/>
      <c r="M7" s="3844"/>
    </row>
    <row r="8" spans="2:14" ht="60" customHeight="1" thickBot="1">
      <c r="B8" s="4020" t="s">
        <v>67</v>
      </c>
      <c r="C8" s="4021"/>
      <c r="D8" s="4022"/>
      <c r="E8" s="4027" t="s">
        <v>657</v>
      </c>
      <c r="F8" s="4027"/>
      <c r="G8" s="4027"/>
      <c r="H8" s="4027"/>
      <c r="I8" s="4027"/>
      <c r="J8" s="4027"/>
      <c r="K8" s="4027"/>
      <c r="L8" s="4028"/>
      <c r="M8" s="4029"/>
    </row>
    <row r="9" spans="2:14" ht="13.5" thickBot="1">
      <c r="B9" s="564"/>
      <c r="C9" s="564"/>
      <c r="D9" s="564"/>
      <c r="E9" s="566"/>
    </row>
    <row r="10" spans="2:14" s="570" customFormat="1" ht="18.75" thickBot="1">
      <c r="B10" s="4030" t="s">
        <v>643</v>
      </c>
      <c r="C10" s="4044" t="s">
        <v>640</v>
      </c>
      <c r="D10" s="4045"/>
      <c r="E10" s="4045"/>
      <c r="F10" s="4045"/>
      <c r="G10" s="4045"/>
      <c r="H10" s="4045"/>
      <c r="I10" s="4045"/>
      <c r="J10" s="4045"/>
      <c r="K10" s="4045"/>
      <c r="L10" s="4046"/>
      <c r="M10" s="4032" t="s">
        <v>646</v>
      </c>
    </row>
    <row r="11" spans="2:14" s="570" customFormat="1" ht="41.25" customHeight="1" thickBot="1">
      <c r="B11" s="4031"/>
      <c r="C11" s="4035" t="s">
        <v>652</v>
      </c>
      <c r="D11" s="4036"/>
      <c r="E11" s="4037"/>
      <c r="F11" s="4023" t="s">
        <v>648</v>
      </c>
      <c r="G11" s="4023"/>
      <c r="H11" s="4023"/>
      <c r="I11" s="4023"/>
      <c r="J11" s="4023"/>
      <c r="K11" s="4023"/>
      <c r="L11" s="4024"/>
      <c r="M11" s="4033"/>
      <c r="N11"/>
    </row>
    <row r="12" spans="2:14" ht="33" customHeight="1" thickBot="1">
      <c r="B12" s="4031"/>
      <c r="C12" s="4038"/>
      <c r="D12" s="4039"/>
      <c r="E12" s="4040"/>
      <c r="F12" s="4041" t="s">
        <v>649</v>
      </c>
      <c r="G12" s="4042"/>
      <c r="H12" s="4041" t="s">
        <v>650</v>
      </c>
      <c r="I12" s="4043"/>
      <c r="J12" s="4042" t="s">
        <v>651</v>
      </c>
      <c r="K12" s="4043"/>
      <c r="L12" s="4025" t="s">
        <v>214</v>
      </c>
      <c r="M12" s="4033"/>
    </row>
    <row r="13" spans="2:14" ht="29.25" customHeight="1" thickBot="1">
      <c r="B13" s="4031"/>
      <c r="C13" s="961" t="s">
        <v>653</v>
      </c>
      <c r="D13" s="850" t="s">
        <v>654</v>
      </c>
      <c r="E13" s="1039" t="s">
        <v>214</v>
      </c>
      <c r="F13" s="1041" t="s">
        <v>647</v>
      </c>
      <c r="G13" s="1042" t="s">
        <v>644</v>
      </c>
      <c r="H13" s="1043" t="s">
        <v>647</v>
      </c>
      <c r="I13" s="1044" t="s">
        <v>645</v>
      </c>
      <c r="J13" s="1041" t="s">
        <v>647</v>
      </c>
      <c r="K13" s="1042" t="s">
        <v>645</v>
      </c>
      <c r="L13" s="4026"/>
      <c r="M13" s="4034"/>
    </row>
    <row r="14" spans="2:14" ht="45" hidden="1">
      <c r="B14" s="1202" t="s">
        <v>658</v>
      </c>
      <c r="C14" s="1203">
        <v>2377</v>
      </c>
      <c r="D14" s="1204">
        <v>707</v>
      </c>
      <c r="E14" s="1205">
        <f>SUM(C14+D14)</f>
        <v>3084</v>
      </c>
      <c r="F14" s="1206">
        <v>20</v>
      </c>
      <c r="G14" s="1207">
        <v>1347</v>
      </c>
      <c r="H14" s="1208">
        <v>6</v>
      </c>
      <c r="I14" s="1207">
        <v>287</v>
      </c>
      <c r="J14" s="1208">
        <v>2</v>
      </c>
      <c r="K14" s="1207">
        <v>77</v>
      </c>
      <c r="L14" s="1209">
        <f>SUM(F14:K14)</f>
        <v>1739</v>
      </c>
      <c r="M14" s="1758" t="s">
        <v>671</v>
      </c>
    </row>
    <row r="15" spans="2:14" ht="30" hidden="1" customHeight="1">
      <c r="B15" s="1276">
        <v>42736</v>
      </c>
      <c r="C15" s="1210">
        <v>443</v>
      </c>
      <c r="D15" s="1211">
        <v>194</v>
      </c>
      <c r="E15" s="1213">
        <f>SUM(C15:D15)</f>
        <v>637</v>
      </c>
      <c r="F15" s="1212">
        <v>5</v>
      </c>
      <c r="G15" s="1279">
        <v>170</v>
      </c>
      <c r="H15" s="1279">
        <v>1</v>
      </c>
      <c r="I15" s="1279">
        <v>8</v>
      </c>
      <c r="J15" s="1279">
        <v>4</v>
      </c>
      <c r="K15" s="1280">
        <v>158</v>
      </c>
      <c r="L15" s="1762">
        <f>G15+I15+K15</f>
        <v>336</v>
      </c>
      <c r="M15" s="1271" t="s">
        <v>701</v>
      </c>
    </row>
    <row r="16" spans="2:14" ht="30" hidden="1" customHeight="1">
      <c r="B16" s="1277">
        <v>42767</v>
      </c>
      <c r="C16" s="962">
        <v>293</v>
      </c>
      <c r="D16" s="851">
        <v>169</v>
      </c>
      <c r="E16" s="1214">
        <f t="shared" ref="E16:E27" si="0">SUM(C16:D16)</f>
        <v>462</v>
      </c>
      <c r="F16" s="1040">
        <v>4</v>
      </c>
      <c r="G16" s="1275">
        <v>198</v>
      </c>
      <c r="H16" s="1275">
        <v>0</v>
      </c>
      <c r="I16" s="1275">
        <v>0</v>
      </c>
      <c r="J16" s="1275">
        <v>3</v>
      </c>
      <c r="K16" s="1281">
        <v>198</v>
      </c>
      <c r="L16" s="1763">
        <f t="shared" ref="L16:L27" si="1">G16+I16+K16</f>
        <v>396</v>
      </c>
      <c r="M16" s="1272" t="s">
        <v>702</v>
      </c>
    </row>
    <row r="17" spans="2:13" ht="30" hidden="1" customHeight="1">
      <c r="B17" s="1277">
        <v>42795</v>
      </c>
      <c r="C17" s="962">
        <v>469</v>
      </c>
      <c r="D17" s="851">
        <v>744</v>
      </c>
      <c r="E17" s="1214">
        <f t="shared" si="0"/>
        <v>1213</v>
      </c>
      <c r="F17" s="1040">
        <v>4</v>
      </c>
      <c r="G17" s="1275">
        <v>840</v>
      </c>
      <c r="H17" s="1275">
        <v>1</v>
      </c>
      <c r="I17" s="1275">
        <v>10</v>
      </c>
      <c r="J17" s="1275">
        <v>2</v>
      </c>
      <c r="K17" s="1281">
        <v>730</v>
      </c>
      <c r="L17" s="1763">
        <f t="shared" si="1"/>
        <v>1580</v>
      </c>
      <c r="M17" s="1272" t="s">
        <v>703</v>
      </c>
    </row>
    <row r="18" spans="2:13" ht="30" hidden="1" customHeight="1">
      <c r="B18" s="1277">
        <v>42826</v>
      </c>
      <c r="C18" s="962">
        <v>482</v>
      </c>
      <c r="D18" s="851">
        <v>119</v>
      </c>
      <c r="E18" s="1214">
        <f t="shared" si="0"/>
        <v>601</v>
      </c>
      <c r="F18" s="1040">
        <v>7</v>
      </c>
      <c r="G18" s="1275">
        <v>332</v>
      </c>
      <c r="H18" s="1275">
        <v>1</v>
      </c>
      <c r="I18" s="1275">
        <v>15</v>
      </c>
      <c r="J18" s="1275">
        <v>6</v>
      </c>
      <c r="K18" s="1281">
        <v>317</v>
      </c>
      <c r="L18" s="1763">
        <f t="shared" si="1"/>
        <v>664</v>
      </c>
      <c r="M18" s="1272" t="s">
        <v>706</v>
      </c>
    </row>
    <row r="19" spans="2:13" ht="30" hidden="1" customHeight="1">
      <c r="B19" s="1277">
        <v>42856</v>
      </c>
      <c r="C19" s="962">
        <v>1328</v>
      </c>
      <c r="D19" s="851">
        <v>173</v>
      </c>
      <c r="E19" s="1214">
        <f t="shared" si="0"/>
        <v>1501</v>
      </c>
      <c r="F19" s="1040">
        <v>12</v>
      </c>
      <c r="G19" s="1275">
        <v>1030</v>
      </c>
      <c r="H19" s="1275">
        <v>4</v>
      </c>
      <c r="I19" s="1275">
        <v>335</v>
      </c>
      <c r="J19" s="1275">
        <v>2</v>
      </c>
      <c r="K19" s="1281">
        <v>230</v>
      </c>
      <c r="L19" s="1763">
        <f t="shared" si="1"/>
        <v>1595</v>
      </c>
      <c r="M19" s="1272" t="s">
        <v>730</v>
      </c>
    </row>
    <row r="20" spans="2:13" ht="30" hidden="1" customHeight="1">
      <c r="B20" s="1277">
        <v>42887</v>
      </c>
      <c r="C20" s="962">
        <v>525</v>
      </c>
      <c r="D20" s="851">
        <v>205</v>
      </c>
      <c r="E20" s="1214">
        <f t="shared" si="0"/>
        <v>730</v>
      </c>
      <c r="F20" s="1040">
        <v>10</v>
      </c>
      <c r="G20" s="1275">
        <v>553</v>
      </c>
      <c r="H20" s="1275">
        <v>1</v>
      </c>
      <c r="I20" s="1275">
        <v>80</v>
      </c>
      <c r="J20" s="1275">
        <v>9</v>
      </c>
      <c r="K20" s="1281">
        <v>473</v>
      </c>
      <c r="L20" s="1763">
        <f t="shared" si="1"/>
        <v>1106</v>
      </c>
      <c r="M20" s="1272" t="s">
        <v>731</v>
      </c>
    </row>
    <row r="21" spans="2:13" ht="30" hidden="1" customHeight="1">
      <c r="B21" s="1277">
        <v>42917</v>
      </c>
      <c r="C21" s="962">
        <v>440</v>
      </c>
      <c r="D21" s="851">
        <v>242</v>
      </c>
      <c r="E21" s="1214">
        <f t="shared" si="0"/>
        <v>682</v>
      </c>
      <c r="F21" s="1040">
        <v>6</v>
      </c>
      <c r="G21" s="1275">
        <v>248</v>
      </c>
      <c r="H21" s="1275">
        <v>3</v>
      </c>
      <c r="I21" s="1275">
        <v>110</v>
      </c>
      <c r="J21" s="1275">
        <v>3</v>
      </c>
      <c r="K21" s="1281">
        <v>138</v>
      </c>
      <c r="L21" s="1763">
        <f t="shared" si="1"/>
        <v>496</v>
      </c>
      <c r="M21" s="1273" t="s">
        <v>732</v>
      </c>
    </row>
    <row r="22" spans="2:13" ht="30" hidden="1" customHeight="1">
      <c r="B22" s="1277">
        <v>42917</v>
      </c>
      <c r="C22" s="962">
        <v>774</v>
      </c>
      <c r="D22" s="851">
        <v>293</v>
      </c>
      <c r="E22" s="1214">
        <f t="shared" si="0"/>
        <v>1067</v>
      </c>
      <c r="F22" s="1040">
        <v>8</v>
      </c>
      <c r="G22" s="1275">
        <v>565</v>
      </c>
      <c r="H22" s="1275">
        <v>2</v>
      </c>
      <c r="I22" s="1275">
        <v>209</v>
      </c>
      <c r="J22" s="1275">
        <v>6</v>
      </c>
      <c r="K22" s="1281">
        <v>356</v>
      </c>
      <c r="L22" s="1763">
        <f t="shared" si="1"/>
        <v>1130</v>
      </c>
      <c r="M22" s="1273" t="s">
        <v>733</v>
      </c>
    </row>
    <row r="23" spans="2:13" ht="30" hidden="1" customHeight="1">
      <c r="B23" s="1277">
        <v>42948</v>
      </c>
      <c r="C23" s="962">
        <v>623</v>
      </c>
      <c r="D23" s="851">
        <v>238</v>
      </c>
      <c r="E23" s="1214">
        <f t="shared" si="0"/>
        <v>861</v>
      </c>
      <c r="F23" s="1040">
        <v>8</v>
      </c>
      <c r="G23" s="1275">
        <v>340</v>
      </c>
      <c r="H23" s="1275">
        <v>2</v>
      </c>
      <c r="I23" s="1275">
        <v>65</v>
      </c>
      <c r="J23" s="1275">
        <v>6</v>
      </c>
      <c r="K23" s="1281">
        <v>275</v>
      </c>
      <c r="L23" s="1763">
        <f t="shared" si="1"/>
        <v>680</v>
      </c>
      <c r="M23" s="1273" t="s">
        <v>734</v>
      </c>
    </row>
    <row r="24" spans="2:13" ht="30" hidden="1" customHeight="1">
      <c r="B24" s="1277">
        <v>42979</v>
      </c>
      <c r="C24" s="962">
        <v>623</v>
      </c>
      <c r="D24" s="851">
        <v>238</v>
      </c>
      <c r="E24" s="1214">
        <f t="shared" si="0"/>
        <v>861</v>
      </c>
      <c r="F24" s="1040">
        <v>8</v>
      </c>
      <c r="G24" s="1275">
        <v>340</v>
      </c>
      <c r="H24" s="1275">
        <v>2</v>
      </c>
      <c r="I24" s="1275">
        <v>65</v>
      </c>
      <c r="J24" s="1275">
        <v>6</v>
      </c>
      <c r="K24" s="1281">
        <v>275</v>
      </c>
      <c r="L24" s="1763">
        <f t="shared" si="1"/>
        <v>680</v>
      </c>
      <c r="M24" s="1273" t="s">
        <v>734</v>
      </c>
    </row>
    <row r="25" spans="2:13" ht="30" customHeight="1">
      <c r="B25" s="1277">
        <v>43009</v>
      </c>
      <c r="C25" s="962">
        <v>902</v>
      </c>
      <c r="D25" s="851">
        <v>221</v>
      </c>
      <c r="E25" s="1214">
        <f t="shared" si="0"/>
        <v>1123</v>
      </c>
      <c r="F25" s="1040">
        <v>8</v>
      </c>
      <c r="G25" s="1275">
        <v>557</v>
      </c>
      <c r="H25" s="1275">
        <v>0</v>
      </c>
      <c r="I25" s="1275">
        <v>0</v>
      </c>
      <c r="J25" s="1275">
        <v>8</v>
      </c>
      <c r="K25" s="1281">
        <v>557</v>
      </c>
      <c r="L25" s="1763">
        <f t="shared" si="1"/>
        <v>1114</v>
      </c>
      <c r="M25" s="1273"/>
    </row>
    <row r="26" spans="2:13" ht="30" customHeight="1">
      <c r="B26" s="1278">
        <v>43040</v>
      </c>
      <c r="C26" s="962">
        <v>609</v>
      </c>
      <c r="D26" s="851">
        <v>149</v>
      </c>
      <c r="E26" s="1214">
        <f t="shared" si="0"/>
        <v>758</v>
      </c>
      <c r="F26" s="1040">
        <v>7</v>
      </c>
      <c r="G26" s="1275">
        <v>424</v>
      </c>
      <c r="H26" s="1275">
        <v>3</v>
      </c>
      <c r="I26" s="1275">
        <v>170</v>
      </c>
      <c r="J26" s="1275">
        <v>5</v>
      </c>
      <c r="K26" s="1281">
        <v>354</v>
      </c>
      <c r="L26" s="1763">
        <f t="shared" si="1"/>
        <v>948</v>
      </c>
      <c r="M26" s="1274"/>
    </row>
    <row r="27" spans="2:13" ht="36.75" thickBot="1">
      <c r="B27" s="1278">
        <v>43070</v>
      </c>
      <c r="C27" s="962">
        <v>935</v>
      </c>
      <c r="D27" s="851">
        <v>209</v>
      </c>
      <c r="E27" s="1214">
        <f t="shared" si="0"/>
        <v>1144</v>
      </c>
      <c r="F27" s="1040">
        <v>9</v>
      </c>
      <c r="G27" s="1275">
        <v>773</v>
      </c>
      <c r="H27" s="1275">
        <v>2</v>
      </c>
      <c r="I27" s="1275">
        <v>165</v>
      </c>
      <c r="J27" s="1275">
        <v>7</v>
      </c>
      <c r="K27" s="1281">
        <v>608</v>
      </c>
      <c r="L27" s="1763">
        <f t="shared" si="1"/>
        <v>1546</v>
      </c>
      <c r="M27" s="1274" t="s">
        <v>762</v>
      </c>
    </row>
    <row r="28" spans="2:13" ht="36.75" thickBot="1">
      <c r="B28" s="1278">
        <v>43101</v>
      </c>
      <c r="C28" s="962">
        <v>596</v>
      </c>
      <c r="D28" s="851">
        <v>237</v>
      </c>
      <c r="E28" s="1214">
        <v>833</v>
      </c>
      <c r="F28" s="1040">
        <v>11</v>
      </c>
      <c r="G28" s="1275">
        <v>496</v>
      </c>
      <c r="H28" s="1275">
        <v>5</v>
      </c>
      <c r="I28" s="1275">
        <v>226</v>
      </c>
      <c r="J28" s="1275">
        <v>6</v>
      </c>
      <c r="K28" s="1281">
        <v>270</v>
      </c>
      <c r="L28" s="1763">
        <v>992</v>
      </c>
      <c r="M28" s="1759" t="s">
        <v>828</v>
      </c>
    </row>
    <row r="29" spans="2:13" ht="36">
      <c r="B29" s="1278">
        <v>43132</v>
      </c>
      <c r="C29" s="962">
        <v>431</v>
      </c>
      <c r="D29" s="851">
        <v>165</v>
      </c>
      <c r="E29" s="1214">
        <v>596</v>
      </c>
      <c r="F29" s="1040">
        <v>6</v>
      </c>
      <c r="G29" s="1275">
        <v>312</v>
      </c>
      <c r="H29" s="1275">
        <v>4</v>
      </c>
      <c r="I29" s="1275">
        <v>182</v>
      </c>
      <c r="J29" s="1275">
        <v>2</v>
      </c>
      <c r="K29" s="1281">
        <v>130</v>
      </c>
      <c r="L29" s="1763">
        <v>624</v>
      </c>
      <c r="M29" s="1760" t="s">
        <v>829</v>
      </c>
    </row>
    <row r="30" spans="2:13" ht="36">
      <c r="B30" s="1278">
        <v>43160</v>
      </c>
      <c r="C30" s="1333">
        <v>533</v>
      </c>
      <c r="D30" s="1334">
        <v>230</v>
      </c>
      <c r="E30" s="1335">
        <v>763</v>
      </c>
      <c r="F30" s="1336">
        <v>7</v>
      </c>
      <c r="G30" s="1337">
        <v>323</v>
      </c>
      <c r="H30" s="1337">
        <v>4</v>
      </c>
      <c r="I30" s="1337">
        <v>113</v>
      </c>
      <c r="J30" s="1337">
        <v>3</v>
      </c>
      <c r="K30" s="1338">
        <v>210</v>
      </c>
      <c r="L30" s="1764">
        <v>646</v>
      </c>
      <c r="M30" s="1761" t="s">
        <v>830</v>
      </c>
    </row>
    <row r="31" spans="2:13" ht="36">
      <c r="B31" s="1278">
        <v>43191</v>
      </c>
      <c r="C31" s="1333">
        <v>505</v>
      </c>
      <c r="D31" s="1334">
        <v>177</v>
      </c>
      <c r="E31" s="1335">
        <v>682</v>
      </c>
      <c r="F31" s="1336">
        <v>6</v>
      </c>
      <c r="G31" s="1337">
        <v>425</v>
      </c>
      <c r="H31" s="1337">
        <v>0</v>
      </c>
      <c r="I31" s="1337">
        <v>0</v>
      </c>
      <c r="J31" s="1337">
        <v>6</v>
      </c>
      <c r="K31" s="1338">
        <v>425</v>
      </c>
      <c r="L31" s="1764">
        <v>850</v>
      </c>
      <c r="M31" s="1285" t="s">
        <v>833</v>
      </c>
    </row>
    <row r="32" spans="2:13" s="2713" customFormat="1" ht="34.5" customHeight="1">
      <c r="B32" s="1278">
        <v>43221</v>
      </c>
      <c r="C32" s="1333">
        <v>639</v>
      </c>
      <c r="D32" s="1334">
        <v>189</v>
      </c>
      <c r="E32" s="1335">
        <v>828</v>
      </c>
      <c r="F32" s="1336">
        <v>9</v>
      </c>
      <c r="G32" s="1337">
        <v>495</v>
      </c>
      <c r="H32" s="1337">
        <v>2</v>
      </c>
      <c r="I32" s="1337">
        <v>140</v>
      </c>
      <c r="J32" s="1337">
        <v>7</v>
      </c>
      <c r="K32" s="1338">
        <v>355</v>
      </c>
      <c r="L32" s="1764">
        <v>990</v>
      </c>
      <c r="M32" s="1761" t="s">
        <v>864</v>
      </c>
    </row>
    <row r="33" spans="1:19" s="2713" customFormat="1" ht="35.25" customHeight="1">
      <c r="B33" s="1278">
        <v>43252</v>
      </c>
      <c r="C33" s="1333">
        <v>583</v>
      </c>
      <c r="D33" s="1334">
        <v>287</v>
      </c>
      <c r="E33" s="1335">
        <v>870</v>
      </c>
      <c r="F33" s="1336">
        <v>11</v>
      </c>
      <c r="G33" s="1337">
        <v>372</v>
      </c>
      <c r="H33" s="1337">
        <v>3</v>
      </c>
      <c r="I33" s="1337">
        <v>80</v>
      </c>
      <c r="J33" s="1337">
        <v>8</v>
      </c>
      <c r="K33" s="1338">
        <v>292</v>
      </c>
      <c r="L33" s="1764">
        <v>744</v>
      </c>
      <c r="M33" s="1761" t="s">
        <v>840</v>
      </c>
    </row>
    <row r="34" spans="1:19" s="2713" customFormat="1" ht="35.25" customHeight="1">
      <c r="B34" s="1278">
        <v>43282</v>
      </c>
      <c r="C34" s="1333">
        <v>744</v>
      </c>
      <c r="D34" s="1334">
        <v>233</v>
      </c>
      <c r="E34" s="1335">
        <v>977</v>
      </c>
      <c r="F34" s="1336">
        <v>12</v>
      </c>
      <c r="G34" s="1337">
        <v>564</v>
      </c>
      <c r="H34" s="1337">
        <v>5</v>
      </c>
      <c r="I34" s="1337">
        <v>124</v>
      </c>
      <c r="J34" s="1337">
        <v>7</v>
      </c>
      <c r="K34" s="1338">
        <v>440</v>
      </c>
      <c r="L34" s="2730">
        <v>1128</v>
      </c>
      <c r="M34" s="1761" t="s">
        <v>840</v>
      </c>
    </row>
    <row r="35" spans="1:19" s="2713" customFormat="1" ht="35.25" customHeight="1">
      <c r="B35" s="1278">
        <v>43313</v>
      </c>
      <c r="C35" s="1333">
        <v>756</v>
      </c>
      <c r="D35" s="1334">
        <v>236</v>
      </c>
      <c r="E35" s="1335">
        <v>992</v>
      </c>
      <c r="F35" s="1336">
        <v>10</v>
      </c>
      <c r="G35" s="1337">
        <v>387</v>
      </c>
      <c r="H35" s="1337">
        <v>7</v>
      </c>
      <c r="I35" s="1337">
        <v>332</v>
      </c>
      <c r="J35" s="1337">
        <v>3</v>
      </c>
      <c r="K35" s="1338">
        <v>55</v>
      </c>
      <c r="L35" s="2730">
        <v>774</v>
      </c>
      <c r="M35" s="1761" t="s">
        <v>828</v>
      </c>
    </row>
    <row r="36" spans="1:19" s="2818" customFormat="1" ht="35.25" customHeight="1">
      <c r="B36" s="1278">
        <v>43344</v>
      </c>
      <c r="C36" s="1333">
        <v>694</v>
      </c>
      <c r="D36" s="1334">
        <v>228</v>
      </c>
      <c r="E36" s="1335">
        <v>922</v>
      </c>
      <c r="F36" s="1336">
        <v>4</v>
      </c>
      <c r="G36" s="1337">
        <v>131</v>
      </c>
      <c r="H36" s="1337">
        <v>5</v>
      </c>
      <c r="I36" s="1337">
        <v>125</v>
      </c>
      <c r="J36" s="1337">
        <v>0</v>
      </c>
      <c r="K36" s="1338">
        <v>0</v>
      </c>
      <c r="L36" s="2730">
        <v>256</v>
      </c>
      <c r="M36" s="1761" t="s">
        <v>869</v>
      </c>
    </row>
    <row r="37" spans="1:19" s="2818" customFormat="1" ht="35.25" customHeight="1">
      <c r="B37" s="1278">
        <v>43374</v>
      </c>
      <c r="C37" s="1333">
        <v>847</v>
      </c>
      <c r="D37" s="1334">
        <v>224</v>
      </c>
      <c r="E37" s="2790">
        <v>1071</v>
      </c>
      <c r="F37" s="1336">
        <v>11</v>
      </c>
      <c r="G37" s="1337">
        <v>402</v>
      </c>
      <c r="H37" s="1337">
        <v>9</v>
      </c>
      <c r="I37" s="1337">
        <v>242</v>
      </c>
      <c r="J37" s="1337">
        <v>0</v>
      </c>
      <c r="K37" s="1338">
        <v>0</v>
      </c>
      <c r="L37" s="2730">
        <v>644</v>
      </c>
      <c r="M37" s="1761" t="s">
        <v>887</v>
      </c>
    </row>
    <row r="38" spans="1:19" s="2713" customFormat="1" ht="35.25" customHeight="1" thickBot="1">
      <c r="B38" s="1278">
        <v>43405</v>
      </c>
      <c r="C38" s="1333">
        <v>547</v>
      </c>
      <c r="D38" s="1334">
        <v>224</v>
      </c>
      <c r="E38" s="1335">
        <v>771</v>
      </c>
      <c r="F38" s="1336">
        <v>7</v>
      </c>
      <c r="G38" s="1337">
        <v>215</v>
      </c>
      <c r="H38" s="1337">
        <v>8</v>
      </c>
      <c r="I38" s="1337">
        <v>214</v>
      </c>
      <c r="J38" s="1337">
        <v>0</v>
      </c>
      <c r="K38" s="1338">
        <v>0</v>
      </c>
      <c r="L38" s="2730">
        <v>429</v>
      </c>
      <c r="M38" s="1761" t="s">
        <v>888</v>
      </c>
    </row>
    <row r="39" spans="1:19" ht="35.25" hidden="1" customHeight="1" thickBot="1">
      <c r="A39" s="2713"/>
      <c r="B39" s="1278">
        <v>43344</v>
      </c>
      <c r="C39" s="1333">
        <v>694</v>
      </c>
      <c r="D39" s="1334">
        <v>228</v>
      </c>
      <c r="E39" s="1335">
        <v>922</v>
      </c>
      <c r="F39" s="1336">
        <v>8</v>
      </c>
      <c r="G39" s="1337">
        <v>254</v>
      </c>
      <c r="H39" s="1337">
        <v>6</v>
      </c>
      <c r="I39" s="1337">
        <v>154</v>
      </c>
      <c r="J39" s="1337">
        <v>2</v>
      </c>
      <c r="K39" s="1338">
        <v>100</v>
      </c>
      <c r="L39" s="2730">
        <v>508</v>
      </c>
      <c r="M39" s="1761" t="s">
        <v>869</v>
      </c>
    </row>
    <row r="40" spans="1:19" s="671" customFormat="1" ht="21.95" customHeight="1" thickBot="1">
      <c r="B40" s="1240" t="s">
        <v>704</v>
      </c>
      <c r="C40" s="1339">
        <f>SUM(C21:C39)</f>
        <v>12475</v>
      </c>
      <c r="D40" s="1339">
        <f t="shared" ref="D40:K40" si="2">SUM(D21:D39)</f>
        <v>4248</v>
      </c>
      <c r="E40" s="1339">
        <f t="shared" si="2"/>
        <v>16723</v>
      </c>
      <c r="F40" s="1339">
        <f t="shared" si="2"/>
        <v>156</v>
      </c>
      <c r="G40" s="1339">
        <f t="shared" si="2"/>
        <v>7623</v>
      </c>
      <c r="H40" s="1339">
        <f t="shared" si="2"/>
        <v>72</v>
      </c>
      <c r="I40" s="1339">
        <f t="shared" si="2"/>
        <v>2716</v>
      </c>
      <c r="J40" s="1339">
        <f t="shared" si="2"/>
        <v>85</v>
      </c>
      <c r="K40" s="1339">
        <f t="shared" si="2"/>
        <v>4840</v>
      </c>
      <c r="L40" s="1339">
        <f>SUM(L21:L39)</f>
        <v>15179</v>
      </c>
      <c r="M40" s="1240"/>
      <c r="N40"/>
      <c r="O40"/>
      <c r="P40"/>
      <c r="Q40"/>
      <c r="S40"/>
    </row>
    <row r="41" spans="1:19" s="671" customFormat="1" ht="15">
      <c r="B41" s="2713"/>
      <c r="C41" s="2713"/>
      <c r="D41" s="2713"/>
      <c r="E41" s="2713"/>
      <c r="F41" s="2713"/>
      <c r="G41" s="2713"/>
      <c r="H41" s="2713"/>
      <c r="I41" s="2713"/>
      <c r="J41" s="2713"/>
      <c r="K41" s="2713"/>
      <c r="L41" s="2713"/>
      <c r="M41"/>
      <c r="N41"/>
      <c r="O41"/>
      <c r="P41"/>
      <c r="Q41"/>
      <c r="S41"/>
    </row>
    <row r="42" spans="1:19" s="671" customFormat="1" ht="15">
      <c r="B42"/>
      <c r="C42"/>
      <c r="D42"/>
      <c r="E42"/>
      <c r="F42"/>
      <c r="G42"/>
      <c r="H42"/>
      <c r="I42"/>
      <c r="J42"/>
      <c r="K42"/>
      <c r="L42"/>
      <c r="M42"/>
      <c r="N42"/>
      <c r="O42"/>
      <c r="P42"/>
      <c r="Q42"/>
    </row>
    <row r="43" spans="1:19" s="671" customFormat="1" ht="15">
      <c r="B43"/>
      <c r="C43"/>
      <c r="D43"/>
      <c r="E43"/>
      <c r="F43"/>
      <c r="G43"/>
      <c r="H43" s="1270"/>
      <c r="I43"/>
      <c r="J43"/>
      <c r="K43"/>
      <c r="L43"/>
      <c r="M43"/>
      <c r="N43"/>
      <c r="O43"/>
      <c r="P43"/>
      <c r="Q43"/>
    </row>
    <row r="44" spans="1:19" s="671" customFormat="1" ht="18">
      <c r="B44" s="827"/>
      <c r="C44" s="827"/>
      <c r="D44" s="827"/>
      <c r="E44" s="1269"/>
      <c r="F44" s="827"/>
      <c r="G44" s="827"/>
      <c r="H44" s="827"/>
      <c r="I44" s="1269"/>
      <c r="J44"/>
      <c r="K44"/>
      <c r="L44"/>
      <c r="M44"/>
      <c r="N44"/>
      <c r="O44"/>
      <c r="P44"/>
      <c r="Q44"/>
    </row>
    <row r="45" spans="1:19" s="671" customFormat="1" ht="18">
      <c r="B45" s="827"/>
      <c r="C45" s="827"/>
      <c r="D45" s="827"/>
      <c r="E45" s="827"/>
      <c r="F45" s="827"/>
      <c r="G45" s="827"/>
      <c r="H45" s="827"/>
      <c r="I45" s="827"/>
      <c r="J45"/>
      <c r="K45"/>
      <c r="L45"/>
      <c r="M45"/>
      <c r="N45"/>
      <c r="O45"/>
      <c r="P45"/>
      <c r="Q45"/>
    </row>
    <row r="46" spans="1:19" s="671" customFormat="1" ht="18">
      <c r="B46" s="827"/>
      <c r="C46" s="827"/>
      <c r="D46" s="827"/>
      <c r="E46" s="827"/>
      <c r="F46" s="827"/>
      <c r="G46" s="827"/>
      <c r="H46" s="827"/>
      <c r="I46" s="827"/>
      <c r="J46"/>
      <c r="K46"/>
      <c r="L46"/>
      <c r="M46"/>
      <c r="N46"/>
      <c r="O46"/>
      <c r="P46"/>
      <c r="Q46"/>
    </row>
    <row r="47" spans="1:19" s="671" customFormat="1" ht="18">
      <c r="B47" s="827"/>
      <c r="C47" s="827"/>
      <c r="D47" s="827"/>
      <c r="E47" s="827"/>
      <c r="F47" s="827"/>
      <c r="G47" s="827"/>
      <c r="H47" s="827"/>
      <c r="I47" s="827"/>
      <c r="J47"/>
      <c r="K47"/>
      <c r="L47"/>
      <c r="M47"/>
      <c r="N47"/>
      <c r="O47"/>
      <c r="P47"/>
      <c r="Q47"/>
    </row>
    <row r="48" spans="1:19" s="671" customFormat="1" ht="18">
      <c r="B48" s="827"/>
      <c r="C48" s="827"/>
      <c r="D48" s="827"/>
      <c r="E48" s="827"/>
      <c r="F48" s="827"/>
      <c r="G48" s="827"/>
      <c r="H48" s="827"/>
      <c r="I48" s="827"/>
      <c r="J48"/>
      <c r="K48"/>
      <c r="L48"/>
      <c r="M48"/>
      <c r="N48"/>
      <c r="O48"/>
      <c r="P48"/>
      <c r="Q48"/>
    </row>
    <row r="49" spans="2:17" s="671" customFormat="1" ht="15">
      <c r="B49"/>
      <c r="C49"/>
      <c r="D49"/>
      <c r="E49"/>
      <c r="F49"/>
      <c r="G49"/>
      <c r="H49"/>
      <c r="I49"/>
      <c r="J49"/>
      <c r="K49"/>
      <c r="L49"/>
      <c r="M49"/>
      <c r="N49"/>
      <c r="O49"/>
      <c r="P49"/>
      <c r="Q49"/>
    </row>
    <row r="50" spans="2:17" s="671" customFormat="1" ht="15">
      <c r="B50"/>
      <c r="C50"/>
      <c r="D50"/>
      <c r="E50"/>
      <c r="F50"/>
      <c r="G50"/>
      <c r="H50"/>
      <c r="I50"/>
      <c r="J50"/>
      <c r="K50"/>
      <c r="L50"/>
      <c r="M50"/>
      <c r="N50"/>
      <c r="O50"/>
      <c r="P50"/>
      <c r="Q50"/>
    </row>
    <row r="51" spans="2:17" s="671" customFormat="1" ht="15">
      <c r="B51"/>
      <c r="C51"/>
      <c r="D51"/>
      <c r="E51"/>
      <c r="F51"/>
      <c r="G51"/>
      <c r="H51"/>
      <c r="I51"/>
      <c r="J51"/>
      <c r="K51"/>
      <c r="L51"/>
      <c r="M51"/>
      <c r="N51"/>
      <c r="O51"/>
      <c r="P51"/>
      <c r="Q51"/>
    </row>
    <row r="52" spans="2:17" s="671" customFormat="1" ht="15">
      <c r="B52"/>
      <c r="C52"/>
      <c r="D52"/>
      <c r="E52"/>
      <c r="F52"/>
      <c r="G52"/>
      <c r="H52"/>
      <c r="I52"/>
      <c r="J52"/>
      <c r="K52"/>
      <c r="L52"/>
      <c r="M52"/>
      <c r="N52"/>
      <c r="O52"/>
      <c r="P52"/>
      <c r="Q52"/>
    </row>
    <row r="53" spans="2:17" s="671" customFormat="1" ht="15">
      <c r="B53"/>
      <c r="C53"/>
      <c r="D53"/>
      <c r="E53"/>
      <c r="F53"/>
      <c r="G53"/>
      <c r="H53"/>
      <c r="I53"/>
      <c r="J53"/>
      <c r="K53"/>
      <c r="L53"/>
      <c r="M53"/>
      <c r="N53"/>
      <c r="O53"/>
      <c r="P53"/>
      <c r="Q53"/>
    </row>
    <row r="58" spans="2:17" s="728" customFormat="1">
      <c r="B58"/>
      <c r="C58"/>
      <c r="D58"/>
      <c r="E58"/>
      <c r="F58"/>
      <c r="G58"/>
      <c r="H58"/>
      <c r="I58"/>
      <c r="J58"/>
      <c r="K58"/>
      <c r="L58"/>
      <c r="M58"/>
      <c r="N58"/>
      <c r="O58"/>
      <c r="P58"/>
      <c r="Q58"/>
    </row>
    <row r="59" spans="2:17" s="671" customFormat="1" ht="15">
      <c r="B59"/>
      <c r="C59"/>
      <c r="D59"/>
      <c r="E59"/>
      <c r="F59"/>
      <c r="G59"/>
      <c r="H59"/>
      <c r="I59"/>
      <c r="J59"/>
      <c r="K59"/>
      <c r="L59"/>
      <c r="M59"/>
      <c r="N59"/>
      <c r="O59"/>
      <c r="P59"/>
      <c r="Q59"/>
    </row>
    <row r="60" spans="2:17" s="671" customFormat="1" ht="15">
      <c r="B60"/>
      <c r="C60"/>
      <c r="D60"/>
      <c r="E60"/>
      <c r="F60"/>
      <c r="G60"/>
      <c r="H60"/>
      <c r="I60"/>
      <c r="J60"/>
      <c r="K60"/>
      <c r="L60"/>
      <c r="M60"/>
      <c r="N60"/>
      <c r="O60"/>
      <c r="P60"/>
      <c r="Q60"/>
    </row>
    <row r="61" spans="2:17" s="671" customFormat="1" ht="15">
      <c r="B61"/>
      <c r="C61"/>
      <c r="D61"/>
      <c r="E61"/>
      <c r="F61"/>
      <c r="G61"/>
      <c r="H61"/>
      <c r="I61"/>
      <c r="J61"/>
      <c r="K61"/>
      <c r="L61"/>
      <c r="M61"/>
      <c r="N61"/>
      <c r="O61"/>
      <c r="P61"/>
      <c r="Q61"/>
    </row>
    <row r="62" spans="2:17" s="671" customFormat="1" ht="15">
      <c r="B62"/>
      <c r="C62"/>
      <c r="D62"/>
      <c r="E62"/>
      <c r="F62"/>
      <c r="G62"/>
      <c r="H62"/>
      <c r="I62"/>
      <c r="J62"/>
      <c r="K62"/>
      <c r="L62"/>
      <c r="M62"/>
      <c r="N62"/>
      <c r="O62"/>
      <c r="P62"/>
      <c r="Q62"/>
    </row>
    <row r="63" spans="2:17" s="671" customFormat="1" ht="15">
      <c r="B63"/>
      <c r="C63"/>
      <c r="D63"/>
      <c r="E63"/>
      <c r="F63"/>
      <c r="G63"/>
      <c r="H63"/>
      <c r="I63"/>
      <c r="J63"/>
      <c r="K63"/>
      <c r="L63"/>
      <c r="M63"/>
      <c r="N63"/>
      <c r="O63"/>
      <c r="P63"/>
      <c r="Q63"/>
    </row>
    <row r="64" spans="2:17" s="671" customFormat="1" ht="15">
      <c r="B64"/>
      <c r="C64"/>
      <c r="D64"/>
      <c r="E64"/>
      <c r="F64"/>
      <c r="G64"/>
      <c r="H64"/>
      <c r="I64"/>
      <c r="J64"/>
      <c r="K64"/>
      <c r="L64"/>
      <c r="M64"/>
      <c r="N64"/>
      <c r="O64"/>
      <c r="P64"/>
      <c r="Q64"/>
    </row>
    <row r="65" spans="1:17" s="671" customFormat="1" ht="15">
      <c r="B65"/>
      <c r="C65"/>
      <c r="D65"/>
      <c r="E65"/>
      <c r="F65"/>
      <c r="G65"/>
      <c r="H65"/>
      <c r="I65"/>
      <c r="J65"/>
      <c r="K65"/>
      <c r="L65"/>
      <c r="M65"/>
      <c r="N65"/>
      <c r="O65"/>
      <c r="P65"/>
      <c r="Q65"/>
    </row>
    <row r="66" spans="1:17" s="671" customFormat="1" ht="15">
      <c r="B66"/>
      <c r="C66"/>
      <c r="D66"/>
      <c r="E66"/>
      <c r="F66"/>
      <c r="G66"/>
      <c r="H66"/>
      <c r="I66"/>
      <c r="J66"/>
      <c r="K66"/>
      <c r="L66"/>
      <c r="M66"/>
      <c r="N66"/>
      <c r="O66"/>
      <c r="P66"/>
      <c r="Q66"/>
    </row>
    <row r="67" spans="1:17" s="671" customFormat="1" ht="15">
      <c r="B67"/>
      <c r="C67"/>
      <c r="D67"/>
      <c r="E67"/>
      <c r="F67"/>
      <c r="G67"/>
      <c r="H67"/>
      <c r="I67"/>
      <c r="J67"/>
      <c r="K67"/>
      <c r="L67"/>
      <c r="M67"/>
      <c r="N67"/>
      <c r="O67"/>
      <c r="P67"/>
      <c r="Q67"/>
    </row>
    <row r="68" spans="1:17" s="730" customFormat="1" ht="15">
      <c r="A68" s="729"/>
      <c r="B68"/>
      <c r="C68"/>
      <c r="D68"/>
      <c r="E68"/>
      <c r="F68"/>
      <c r="G68"/>
      <c r="H68"/>
      <c r="I68"/>
      <c r="J68"/>
      <c r="K68"/>
      <c r="L68"/>
      <c r="M68"/>
      <c r="N68"/>
      <c r="O68"/>
      <c r="P68"/>
      <c r="Q68"/>
    </row>
    <row r="69" spans="1:17" s="730" customFormat="1" ht="15.75" thickBot="1">
      <c r="A69" s="759"/>
      <c r="B69"/>
      <c r="C69"/>
      <c r="D69"/>
      <c r="E69"/>
      <c r="F69"/>
      <c r="G69"/>
      <c r="H69"/>
      <c r="I69"/>
      <c r="J69"/>
      <c r="K69"/>
      <c r="L69"/>
      <c r="M69"/>
      <c r="N69"/>
      <c r="O69"/>
      <c r="P69"/>
      <c r="Q69"/>
    </row>
    <row r="70" spans="1:17" s="730" customFormat="1" ht="15">
      <c r="B70"/>
      <c r="C70"/>
      <c r="D70"/>
      <c r="E70"/>
      <c r="F70"/>
      <c r="G70"/>
      <c r="H70"/>
      <c r="I70"/>
      <c r="J70"/>
      <c r="K70"/>
      <c r="L70"/>
      <c r="M70"/>
      <c r="N70"/>
      <c r="O70"/>
      <c r="P70"/>
      <c r="Q70"/>
    </row>
    <row r="71" spans="1:17" s="730" customFormat="1" ht="15">
      <c r="B71"/>
      <c r="C71"/>
      <c r="D71"/>
      <c r="E71"/>
      <c r="F71"/>
      <c r="G71"/>
      <c r="H71"/>
      <c r="I71"/>
      <c r="J71"/>
      <c r="K71"/>
      <c r="L71"/>
      <c r="M71"/>
      <c r="N71"/>
      <c r="O71"/>
      <c r="P71"/>
      <c r="Q71"/>
    </row>
    <row r="72" spans="1:17" s="671" customFormat="1" ht="15">
      <c r="B72"/>
      <c r="C72"/>
      <c r="D72"/>
      <c r="E72"/>
      <c r="F72"/>
      <c r="G72"/>
      <c r="H72"/>
      <c r="I72"/>
      <c r="J72"/>
      <c r="K72"/>
      <c r="L72"/>
      <c r="M72"/>
      <c r="N72"/>
      <c r="O72"/>
      <c r="P72"/>
      <c r="Q72"/>
    </row>
    <row r="73" spans="1:17" s="671" customFormat="1" ht="15">
      <c r="B73"/>
      <c r="C73"/>
      <c r="D73"/>
      <c r="E73"/>
      <c r="F73"/>
      <c r="G73"/>
      <c r="H73"/>
      <c r="I73"/>
      <c r="J73"/>
      <c r="K73"/>
      <c r="L73"/>
      <c r="M73"/>
      <c r="N73"/>
      <c r="O73"/>
      <c r="P73"/>
      <c r="Q73"/>
    </row>
    <row r="74" spans="1:17" s="671" customFormat="1" ht="15">
      <c r="B74"/>
      <c r="C74"/>
      <c r="D74"/>
      <c r="E74"/>
      <c r="F74"/>
      <c r="G74"/>
      <c r="H74"/>
      <c r="I74"/>
      <c r="J74"/>
      <c r="K74"/>
      <c r="L74"/>
      <c r="M74"/>
      <c r="N74"/>
      <c r="O74"/>
      <c r="P74"/>
      <c r="Q74"/>
    </row>
    <row r="75" spans="1:17" s="671" customFormat="1" ht="15">
      <c r="A75" s="760"/>
      <c r="B75"/>
      <c r="C75"/>
      <c r="D75"/>
      <c r="E75"/>
      <c r="F75"/>
      <c r="G75"/>
      <c r="H75"/>
      <c r="I75"/>
      <c r="J75"/>
      <c r="K75"/>
      <c r="L75"/>
      <c r="M75"/>
      <c r="N75"/>
      <c r="O75"/>
      <c r="P75"/>
      <c r="Q75"/>
    </row>
    <row r="76" spans="1:17" s="671" customFormat="1" ht="15">
      <c r="B76"/>
      <c r="C76"/>
      <c r="D76"/>
      <c r="E76"/>
      <c r="F76"/>
      <c r="G76"/>
      <c r="H76"/>
      <c r="I76"/>
      <c r="J76"/>
      <c r="K76"/>
      <c r="L76"/>
      <c r="M76"/>
      <c r="N76"/>
      <c r="O76"/>
      <c r="P76"/>
      <c r="Q76"/>
    </row>
    <row r="77" spans="1:17" s="671" customFormat="1" ht="15">
      <c r="B77"/>
      <c r="C77"/>
      <c r="D77"/>
      <c r="E77"/>
      <c r="F77"/>
      <c r="G77"/>
      <c r="H77"/>
      <c r="I77"/>
      <c r="J77"/>
      <c r="K77"/>
      <c r="L77"/>
      <c r="M77"/>
      <c r="N77"/>
      <c r="O77"/>
      <c r="P77"/>
      <c r="Q77"/>
    </row>
    <row r="78" spans="1:17" s="671" customFormat="1" ht="15">
      <c r="B78"/>
      <c r="C78"/>
      <c r="D78"/>
      <c r="E78"/>
      <c r="F78"/>
      <c r="G78"/>
      <c r="H78"/>
      <c r="I78"/>
      <c r="J78"/>
      <c r="K78"/>
      <c r="L78"/>
      <c r="M78"/>
      <c r="N78"/>
      <c r="O78"/>
      <c r="P78"/>
      <c r="Q78"/>
    </row>
    <row r="79" spans="1:17" s="671" customFormat="1" ht="15">
      <c r="B79"/>
      <c r="C79"/>
      <c r="D79"/>
      <c r="E79"/>
      <c r="F79"/>
      <c r="G79"/>
      <c r="H79"/>
      <c r="I79"/>
      <c r="J79"/>
      <c r="K79"/>
      <c r="L79"/>
      <c r="M79"/>
      <c r="N79"/>
      <c r="O79"/>
      <c r="P79"/>
      <c r="Q79"/>
    </row>
    <row r="80" spans="1:17" s="671" customFormat="1" ht="15">
      <c r="B80"/>
      <c r="C80"/>
      <c r="D80"/>
      <c r="E80"/>
      <c r="F80"/>
      <c r="G80"/>
      <c r="H80"/>
      <c r="I80"/>
      <c r="J80"/>
      <c r="K80"/>
      <c r="L80"/>
      <c r="M80"/>
      <c r="N80"/>
      <c r="O80"/>
      <c r="P80"/>
      <c r="Q80"/>
    </row>
    <row r="81" spans="2:17" s="671" customFormat="1" ht="15">
      <c r="B81"/>
      <c r="C81"/>
      <c r="D81"/>
      <c r="E81"/>
      <c r="F81"/>
      <c r="G81"/>
      <c r="H81"/>
      <c r="I81"/>
      <c r="J81"/>
      <c r="K81"/>
      <c r="L81"/>
      <c r="M81"/>
      <c r="N81"/>
      <c r="O81"/>
      <c r="P81"/>
      <c r="Q81"/>
    </row>
    <row r="82" spans="2:17" s="671" customFormat="1" ht="15">
      <c r="B82"/>
      <c r="C82"/>
      <c r="D82"/>
      <c r="E82"/>
      <c r="F82"/>
      <c r="G82"/>
      <c r="H82"/>
      <c r="I82"/>
      <c r="J82"/>
      <c r="K82"/>
      <c r="L82"/>
      <c r="M82"/>
      <c r="N82"/>
      <c r="O82"/>
      <c r="P82"/>
      <c r="Q82"/>
    </row>
    <row r="83" spans="2:17" s="671" customFormat="1" ht="15">
      <c r="B83"/>
      <c r="C83"/>
      <c r="D83"/>
      <c r="E83"/>
      <c r="F83"/>
      <c r="G83"/>
      <c r="H83"/>
      <c r="I83"/>
      <c r="J83"/>
      <c r="K83"/>
      <c r="L83"/>
      <c r="M83"/>
      <c r="N83"/>
      <c r="O83"/>
      <c r="P83"/>
      <c r="Q83"/>
    </row>
    <row r="84" spans="2:17" s="671" customFormat="1" ht="15">
      <c r="B84"/>
      <c r="C84"/>
      <c r="D84"/>
      <c r="E84"/>
      <c r="F84"/>
      <c r="G84"/>
      <c r="H84"/>
      <c r="I84"/>
      <c r="J84"/>
      <c r="K84"/>
      <c r="L84"/>
      <c r="M84"/>
      <c r="N84"/>
      <c r="O84"/>
      <c r="P84"/>
      <c r="Q84"/>
    </row>
    <row r="85" spans="2:17" s="671" customFormat="1" ht="15">
      <c r="B85"/>
      <c r="C85"/>
      <c r="D85"/>
      <c r="E85"/>
      <c r="F85"/>
      <c r="G85"/>
      <c r="H85"/>
      <c r="I85"/>
      <c r="J85"/>
      <c r="K85"/>
      <c r="L85"/>
      <c r="M85"/>
      <c r="N85"/>
      <c r="O85"/>
      <c r="P85"/>
      <c r="Q85"/>
    </row>
    <row r="86" spans="2:17" s="671" customFormat="1" ht="15">
      <c r="B86"/>
      <c r="C86"/>
      <c r="D86"/>
      <c r="E86"/>
      <c r="F86"/>
      <c r="G86"/>
      <c r="H86"/>
      <c r="I86"/>
      <c r="J86"/>
      <c r="K86"/>
      <c r="L86"/>
      <c r="M86"/>
      <c r="N86"/>
      <c r="O86"/>
      <c r="P86"/>
      <c r="Q86"/>
    </row>
    <row r="87" spans="2:17" s="671" customFormat="1" ht="15">
      <c r="B87"/>
      <c r="C87"/>
      <c r="D87"/>
      <c r="E87"/>
      <c r="F87"/>
      <c r="G87"/>
      <c r="H87"/>
      <c r="I87"/>
      <c r="J87"/>
      <c r="K87"/>
      <c r="L87"/>
      <c r="M87"/>
      <c r="N87"/>
      <c r="O87"/>
      <c r="P87"/>
      <c r="Q87"/>
    </row>
    <row r="88" spans="2:17" s="671" customFormat="1" ht="15">
      <c r="B88"/>
      <c r="C88"/>
      <c r="D88"/>
      <c r="E88"/>
      <c r="F88"/>
      <c r="G88"/>
      <c r="H88"/>
      <c r="I88"/>
      <c r="J88"/>
      <c r="K88"/>
      <c r="L88"/>
      <c r="M88"/>
      <c r="N88"/>
      <c r="O88"/>
      <c r="P88"/>
      <c r="Q88"/>
    </row>
    <row r="89" spans="2:17" s="671" customFormat="1" ht="15">
      <c r="B89"/>
      <c r="C89"/>
      <c r="D89"/>
      <c r="E89"/>
      <c r="F89"/>
      <c r="G89"/>
      <c r="H89"/>
      <c r="I89"/>
      <c r="J89"/>
      <c r="K89"/>
      <c r="L89"/>
      <c r="M89"/>
      <c r="N89"/>
      <c r="O89"/>
      <c r="P89"/>
      <c r="Q89"/>
    </row>
    <row r="90" spans="2:17" s="671" customFormat="1" ht="15">
      <c r="B90"/>
      <c r="C90"/>
      <c r="D90"/>
      <c r="E90"/>
      <c r="F90"/>
      <c r="G90"/>
      <c r="H90"/>
      <c r="I90"/>
      <c r="J90"/>
      <c r="K90"/>
      <c r="L90"/>
      <c r="M90"/>
      <c r="N90"/>
      <c r="O90"/>
      <c r="P90"/>
      <c r="Q90"/>
    </row>
    <row r="91" spans="2:17" s="671" customFormat="1" ht="15">
      <c r="B91"/>
      <c r="C91"/>
      <c r="D91"/>
      <c r="E91"/>
      <c r="F91"/>
      <c r="G91"/>
      <c r="H91"/>
      <c r="I91"/>
      <c r="J91"/>
      <c r="K91"/>
      <c r="L91"/>
      <c r="M91"/>
      <c r="N91"/>
      <c r="O91"/>
      <c r="P91"/>
      <c r="Q91"/>
    </row>
    <row r="92" spans="2:17" s="671" customFormat="1" ht="15">
      <c r="B92"/>
      <c r="C92"/>
      <c r="D92"/>
      <c r="E92"/>
      <c r="F92"/>
      <c r="G92"/>
      <c r="H92"/>
      <c r="I92"/>
      <c r="J92"/>
      <c r="K92"/>
      <c r="L92"/>
      <c r="M92"/>
      <c r="N92"/>
      <c r="O92"/>
      <c r="P92"/>
      <c r="Q92"/>
    </row>
    <row r="93" spans="2:17" s="671" customFormat="1" ht="15">
      <c r="B93"/>
      <c r="C93"/>
      <c r="D93"/>
      <c r="E93"/>
      <c r="F93"/>
      <c r="G93"/>
      <c r="H93"/>
      <c r="I93"/>
      <c r="J93"/>
      <c r="K93"/>
      <c r="L93"/>
      <c r="M93"/>
      <c r="N93"/>
      <c r="O93"/>
      <c r="P93"/>
      <c r="Q93"/>
    </row>
    <row r="94" spans="2:17" s="671" customFormat="1" ht="15">
      <c r="B94"/>
      <c r="C94"/>
      <c r="D94"/>
      <c r="E94"/>
      <c r="F94"/>
      <c r="G94"/>
      <c r="H94"/>
      <c r="I94"/>
      <c r="J94"/>
      <c r="K94"/>
      <c r="L94"/>
      <c r="M94"/>
      <c r="N94"/>
      <c r="O94"/>
      <c r="P94"/>
      <c r="Q94"/>
    </row>
    <row r="95" spans="2:17" s="671" customFormat="1" ht="15">
      <c r="B95"/>
      <c r="C95"/>
      <c r="D95"/>
      <c r="E95"/>
      <c r="F95"/>
      <c r="G95"/>
      <c r="H95"/>
      <c r="I95"/>
      <c r="J95"/>
      <c r="K95"/>
      <c r="L95"/>
      <c r="M95"/>
      <c r="N95"/>
      <c r="O95"/>
      <c r="P95"/>
      <c r="Q95"/>
    </row>
    <row r="96" spans="2:17" s="671" customFormat="1" ht="15">
      <c r="B96"/>
      <c r="C96"/>
      <c r="D96"/>
      <c r="E96"/>
      <c r="F96"/>
      <c r="G96"/>
      <c r="H96"/>
      <c r="I96"/>
      <c r="J96"/>
      <c r="K96"/>
      <c r="L96"/>
      <c r="M96"/>
      <c r="N96"/>
      <c r="O96"/>
      <c r="P96"/>
      <c r="Q96"/>
    </row>
    <row r="97" spans="2:17" s="671" customFormat="1" ht="15">
      <c r="B97"/>
      <c r="C97"/>
      <c r="D97"/>
      <c r="E97"/>
      <c r="F97"/>
      <c r="G97"/>
      <c r="H97"/>
      <c r="I97"/>
      <c r="J97"/>
      <c r="K97"/>
      <c r="L97"/>
      <c r="M97"/>
      <c r="N97"/>
      <c r="O97"/>
      <c r="P97"/>
      <c r="Q97"/>
    </row>
    <row r="98" spans="2:17" s="671" customFormat="1" ht="15">
      <c r="B98"/>
      <c r="C98"/>
      <c r="D98"/>
      <c r="E98"/>
      <c r="F98"/>
      <c r="G98"/>
      <c r="H98"/>
      <c r="I98"/>
      <c r="J98"/>
      <c r="K98"/>
      <c r="L98"/>
      <c r="M98"/>
      <c r="N98"/>
      <c r="O98"/>
      <c r="P98"/>
      <c r="Q98"/>
    </row>
    <row r="99" spans="2:17" s="671" customFormat="1" ht="15">
      <c r="B99"/>
      <c r="C99"/>
      <c r="D99"/>
      <c r="E99"/>
      <c r="F99"/>
      <c r="G99"/>
      <c r="H99"/>
      <c r="I99"/>
      <c r="J99"/>
      <c r="K99"/>
      <c r="L99"/>
      <c r="M99"/>
      <c r="N99"/>
      <c r="O99"/>
      <c r="P99"/>
      <c r="Q99"/>
    </row>
    <row r="100" spans="2:17" s="671" customFormat="1" ht="15">
      <c r="B100"/>
      <c r="C100"/>
      <c r="D100"/>
      <c r="E100"/>
      <c r="F100"/>
      <c r="G100"/>
      <c r="H100"/>
      <c r="I100"/>
      <c r="J100"/>
      <c r="K100"/>
      <c r="L100"/>
      <c r="M100"/>
      <c r="N100"/>
      <c r="O100"/>
      <c r="P100"/>
      <c r="Q100"/>
    </row>
    <row r="101" spans="2:17" s="671" customFormat="1" ht="15">
      <c r="B101"/>
      <c r="C101"/>
      <c r="D101"/>
      <c r="E101"/>
      <c r="F101"/>
      <c r="G101"/>
      <c r="H101"/>
      <c r="I101"/>
      <c r="J101"/>
      <c r="K101"/>
      <c r="L101"/>
      <c r="M101"/>
      <c r="N101"/>
      <c r="O101"/>
      <c r="P101"/>
      <c r="Q101"/>
    </row>
    <row r="102" spans="2:17" s="671" customFormat="1" ht="15">
      <c r="B102"/>
      <c r="C102"/>
      <c r="D102"/>
      <c r="E102"/>
      <c r="F102"/>
      <c r="G102"/>
      <c r="H102"/>
      <c r="I102"/>
      <c r="J102"/>
      <c r="K102"/>
      <c r="L102"/>
      <c r="M102"/>
      <c r="N102"/>
      <c r="O102"/>
      <c r="P102"/>
      <c r="Q102"/>
    </row>
    <row r="103" spans="2:17" s="671" customFormat="1" ht="15">
      <c r="B103"/>
      <c r="C103"/>
      <c r="D103"/>
      <c r="E103"/>
      <c r="F103"/>
      <c r="G103"/>
      <c r="H103"/>
      <c r="I103"/>
      <c r="J103"/>
      <c r="K103"/>
      <c r="L103"/>
      <c r="M103"/>
      <c r="N103"/>
      <c r="O103"/>
      <c r="P103"/>
      <c r="Q103"/>
    </row>
    <row r="104" spans="2:17" s="671" customFormat="1" ht="15">
      <c r="B104"/>
      <c r="C104"/>
      <c r="D104"/>
      <c r="E104"/>
      <c r="F104"/>
      <c r="G104"/>
      <c r="H104"/>
      <c r="I104"/>
      <c r="J104"/>
      <c r="K104"/>
      <c r="L104"/>
      <c r="M104"/>
      <c r="N104"/>
      <c r="O104"/>
      <c r="P104"/>
      <c r="Q104"/>
    </row>
    <row r="105" spans="2:17" s="671" customFormat="1" ht="15">
      <c r="B105"/>
      <c r="C105"/>
      <c r="D105"/>
      <c r="E105"/>
      <c r="F105"/>
      <c r="G105"/>
      <c r="H105"/>
      <c r="I105"/>
      <c r="J105"/>
      <c r="K105"/>
      <c r="L105"/>
      <c r="M105"/>
      <c r="N105"/>
      <c r="O105"/>
      <c r="P105"/>
      <c r="Q105"/>
    </row>
    <row r="106" spans="2:17" s="671" customFormat="1" ht="15">
      <c r="B106"/>
      <c r="C106"/>
      <c r="D106"/>
      <c r="E106"/>
      <c r="F106"/>
      <c r="G106"/>
      <c r="H106"/>
      <c r="I106"/>
      <c r="J106"/>
      <c r="K106"/>
      <c r="L106"/>
      <c r="M106"/>
      <c r="N106"/>
      <c r="O106"/>
      <c r="P106"/>
      <c r="Q106"/>
    </row>
    <row r="125" spans="2:17" s="671" customFormat="1" ht="15">
      <c r="B125"/>
      <c r="C125"/>
      <c r="D125"/>
      <c r="E125"/>
      <c r="F125"/>
      <c r="G125"/>
      <c r="H125"/>
      <c r="I125"/>
      <c r="J125"/>
      <c r="K125"/>
      <c r="L125"/>
      <c r="M125"/>
      <c r="N125"/>
      <c r="O125"/>
      <c r="P125"/>
      <c r="Q125"/>
    </row>
    <row r="126" spans="2:17" s="730" customFormat="1" ht="15">
      <c r="B126"/>
      <c r="C126"/>
      <c r="D126"/>
      <c r="E126"/>
      <c r="F126"/>
      <c r="G126"/>
      <c r="H126"/>
      <c r="I126"/>
      <c r="J126"/>
      <c r="K126"/>
      <c r="L126"/>
      <c r="M126"/>
      <c r="N126"/>
      <c r="O126"/>
      <c r="P126"/>
      <c r="Q126"/>
    </row>
    <row r="127" spans="2:17" s="730" customFormat="1" ht="15">
      <c r="B127"/>
      <c r="C127"/>
      <c r="D127"/>
      <c r="E127"/>
      <c r="F127"/>
      <c r="G127"/>
      <c r="H127"/>
      <c r="I127"/>
      <c r="J127"/>
      <c r="K127"/>
      <c r="L127"/>
      <c r="M127"/>
      <c r="N127"/>
      <c r="O127"/>
      <c r="P127"/>
      <c r="Q127"/>
    </row>
    <row r="128" spans="2:17" s="730" customFormat="1" ht="15">
      <c r="B128"/>
      <c r="C128"/>
      <c r="D128"/>
      <c r="E128"/>
      <c r="F128"/>
      <c r="G128"/>
      <c r="H128"/>
      <c r="I128"/>
      <c r="J128"/>
      <c r="K128"/>
      <c r="L128"/>
      <c r="M128"/>
      <c r="N128"/>
      <c r="O128"/>
      <c r="P128"/>
      <c r="Q128"/>
    </row>
    <row r="129" spans="2:17" s="730" customFormat="1" ht="15">
      <c r="B129"/>
      <c r="C129"/>
      <c r="D129"/>
      <c r="E129"/>
      <c r="F129"/>
      <c r="G129"/>
      <c r="H129"/>
      <c r="I129"/>
      <c r="J129"/>
      <c r="K129"/>
      <c r="L129"/>
      <c r="M129"/>
      <c r="N129"/>
      <c r="O129"/>
      <c r="P129"/>
      <c r="Q129"/>
    </row>
    <row r="130" spans="2:17" s="731" customFormat="1" ht="15">
      <c r="B130"/>
      <c r="C130"/>
      <c r="D130"/>
      <c r="E130"/>
      <c r="F130"/>
      <c r="G130"/>
      <c r="H130"/>
      <c r="I130"/>
      <c r="J130"/>
      <c r="K130"/>
      <c r="L130"/>
      <c r="M130"/>
      <c r="N130"/>
      <c r="O130"/>
      <c r="P130"/>
      <c r="Q130"/>
    </row>
    <row r="144" spans="2:17" ht="12" thickBot="1"/>
    <row r="145" spans="1:1">
      <c r="A145" s="761"/>
    </row>
    <row r="146" spans="1:1">
      <c r="A146" s="762"/>
    </row>
    <row r="147" spans="1:1">
      <c r="A147" s="762"/>
    </row>
    <row r="148" spans="1:1">
      <c r="A148" s="762"/>
    </row>
    <row r="149" spans="1:1">
      <c r="A149" s="762"/>
    </row>
    <row r="150" spans="1:1">
      <c r="A150" s="762"/>
    </row>
    <row r="151" spans="1:1">
      <c r="A151" s="762"/>
    </row>
    <row r="152" spans="1:1">
      <c r="A152" s="762"/>
    </row>
    <row r="153" spans="1:1">
      <c r="A153" s="762"/>
    </row>
    <row r="154" spans="1:1">
      <c r="A154" s="762"/>
    </row>
    <row r="155" spans="1:1">
      <c r="A155" s="762"/>
    </row>
    <row r="156" spans="1:1">
      <c r="A156" s="762"/>
    </row>
    <row r="157" spans="1:1">
      <c r="A157" s="762"/>
    </row>
    <row r="158" spans="1:1">
      <c r="A158" s="762"/>
    </row>
    <row r="159" spans="1:1">
      <c r="A159" s="762"/>
    </row>
    <row r="160" spans="1:1">
      <c r="A160" s="762"/>
    </row>
    <row r="161" spans="1:1">
      <c r="A161" s="762"/>
    </row>
    <row r="162" spans="1:1">
      <c r="A162" s="762"/>
    </row>
    <row r="163" spans="1:1">
      <c r="A163" s="762"/>
    </row>
  </sheetData>
  <mergeCells count="21">
    <mergeCell ref="B8:D8"/>
    <mergeCell ref="F11:L11"/>
    <mergeCell ref="L12:L13"/>
    <mergeCell ref="E8:M8"/>
    <mergeCell ref="E6:M6"/>
    <mergeCell ref="E7:M7"/>
    <mergeCell ref="B10:B13"/>
    <mergeCell ref="M10:M13"/>
    <mergeCell ref="C11:E12"/>
    <mergeCell ref="F12:G12"/>
    <mergeCell ref="H12:I12"/>
    <mergeCell ref="J12:K12"/>
    <mergeCell ref="C10:L10"/>
    <mergeCell ref="B5:D5"/>
    <mergeCell ref="B6:D6"/>
    <mergeCell ref="B7:D7"/>
    <mergeCell ref="B2:M2"/>
    <mergeCell ref="E4:M4"/>
    <mergeCell ref="E3:M3"/>
    <mergeCell ref="B3:D3"/>
    <mergeCell ref="E5:M5"/>
  </mergeCells>
  <printOptions horizontalCentered="1" verticalCentered="1"/>
  <pageMargins left="0.70866141732283472" right="0.70866141732283472" top="0.74803149606299213" bottom="0.74803149606299213" header="0.31496062992125984" footer="0.31496062992125984"/>
  <pageSetup paperSize="9" scale="53" orientation="landscape" r:id="rId1"/>
  <ignoredErrors>
    <ignoredError sqref="E15:E27"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3" tint="0.39997558519241921"/>
    <pageSetUpPr fitToPage="1"/>
  </sheetPr>
  <dimension ref="A1:AO476"/>
  <sheetViews>
    <sheetView showGridLines="0" view="pageBreakPreview" topLeftCell="A11" zoomScaleNormal="90" zoomScaleSheetLayoutView="100" zoomScalePageLayoutView="80" workbookViewId="0">
      <selection activeCell="M112" sqref="M112"/>
    </sheetView>
  </sheetViews>
  <sheetFormatPr baseColWidth="10" defaultColWidth="12" defaultRowHeight="12.75"/>
  <cols>
    <col min="1" max="1" width="16.83203125" style="1" customWidth="1"/>
    <col min="2" max="2" width="18.83203125" style="1" customWidth="1"/>
    <col min="3" max="3" width="19.83203125" style="378" customWidth="1"/>
    <col min="4" max="4" width="13.6640625" style="1" bestFit="1" customWidth="1"/>
    <col min="5" max="5" width="15.1640625" style="1" bestFit="1" customWidth="1"/>
    <col min="6" max="6" width="17.6640625" style="1" bestFit="1" customWidth="1"/>
    <col min="7" max="7" width="16.5" style="1" customWidth="1"/>
    <col min="8" max="8" width="13.6640625" style="1" customWidth="1"/>
    <col min="9" max="9" width="13.6640625" style="1820" customWidth="1"/>
    <col min="10" max="10" width="16.33203125" style="1" customWidth="1"/>
    <col min="11" max="11" width="18" style="1" hidden="1" customWidth="1"/>
    <col min="12" max="12" width="15.5" style="1" customWidth="1"/>
    <col min="13" max="13" width="14.33203125" style="1" customWidth="1"/>
    <col min="14" max="14" width="19.6640625" style="4" customWidth="1"/>
    <col min="15" max="15" width="18" style="4" bestFit="1" customWidth="1"/>
    <col min="16" max="16" width="13.6640625" style="1" customWidth="1"/>
    <col min="17" max="17" width="14.5" style="1" bestFit="1" customWidth="1"/>
    <col min="18" max="24" width="19.1640625" style="1" customWidth="1"/>
    <col min="25" max="41" width="12" style="1" customWidth="1"/>
    <col min="42" max="16384" width="12" style="1"/>
  </cols>
  <sheetData>
    <row r="1" spans="1:40" ht="30" customHeight="1" thickTop="1" thickBot="1">
      <c r="A1" s="2991" t="s">
        <v>7</v>
      </c>
      <c r="B1" s="2992"/>
      <c r="C1" s="2992"/>
      <c r="D1" s="2992"/>
      <c r="E1" s="2992"/>
      <c r="F1" s="2992"/>
      <c r="G1" s="2992"/>
      <c r="H1" s="2992"/>
      <c r="I1" s="2992"/>
      <c r="J1" s="2992"/>
      <c r="K1" s="2992"/>
      <c r="L1" s="2992"/>
      <c r="M1" s="2993"/>
    </row>
    <row r="2" spans="1:40" s="3" customFormat="1" ht="25.5">
      <c r="A2" s="3000" t="s">
        <v>18</v>
      </c>
      <c r="B2" s="3001"/>
      <c r="C2" s="3002" t="s">
        <v>233</v>
      </c>
      <c r="D2" s="3003"/>
      <c r="E2" s="3003"/>
      <c r="F2" s="3003"/>
      <c r="G2" s="3003"/>
      <c r="H2" s="3003"/>
      <c r="I2" s="3003"/>
      <c r="J2" s="3003"/>
      <c r="K2" s="3003"/>
      <c r="L2" s="3004"/>
      <c r="M2" s="213" t="s">
        <v>390</v>
      </c>
      <c r="N2" s="62"/>
      <c r="O2" s="62"/>
    </row>
    <row r="3" spans="1:40" s="3" customFormat="1">
      <c r="A3" s="2998" t="s">
        <v>17</v>
      </c>
      <c r="B3" s="2999"/>
      <c r="C3" s="372" t="s">
        <v>215</v>
      </c>
      <c r="D3" s="50"/>
      <c r="E3" s="50"/>
      <c r="F3" s="50"/>
      <c r="G3" s="50"/>
      <c r="H3" s="838"/>
      <c r="I3" s="838"/>
      <c r="J3" s="50"/>
      <c r="K3" s="50"/>
      <c r="L3" s="50"/>
      <c r="M3" s="214"/>
      <c r="N3" s="62"/>
      <c r="O3" s="837"/>
    </row>
    <row r="4" spans="1:40" s="3" customFormat="1">
      <c r="A4" s="2998" t="s">
        <v>8</v>
      </c>
      <c r="B4" s="2999"/>
      <c r="C4" s="372" t="s">
        <v>10</v>
      </c>
      <c r="D4" s="50"/>
      <c r="E4" s="50"/>
      <c r="F4" s="50"/>
      <c r="G4" s="50"/>
      <c r="H4" s="50"/>
      <c r="I4" s="50"/>
      <c r="J4" s="50"/>
      <c r="K4" s="50"/>
      <c r="L4" s="50"/>
      <c r="M4" s="214"/>
      <c r="N4" s="62"/>
      <c r="O4" s="62"/>
    </row>
    <row r="5" spans="1:40" s="3" customFormat="1">
      <c r="A5" s="2998" t="s">
        <v>11</v>
      </c>
      <c r="B5" s="2999"/>
      <c r="C5" s="372" t="s">
        <v>216</v>
      </c>
      <c r="D5" s="50"/>
      <c r="E5" s="50"/>
      <c r="F5" s="50"/>
      <c r="G5" s="50"/>
      <c r="H5" s="50"/>
      <c r="I5" s="50"/>
      <c r="J5" s="50"/>
      <c r="K5" s="50"/>
      <c r="L5" s="50"/>
      <c r="M5" s="214"/>
      <c r="N5" s="62"/>
      <c r="O5" s="62"/>
    </row>
    <row r="6" spans="1:40" s="3" customFormat="1">
      <c r="A6" s="2998" t="s">
        <v>16</v>
      </c>
      <c r="B6" s="2999"/>
      <c r="C6" s="372" t="s">
        <v>12</v>
      </c>
      <c r="D6" s="50"/>
      <c r="E6" s="50"/>
      <c r="F6" s="50"/>
      <c r="G6" s="50"/>
      <c r="H6" s="50"/>
      <c r="I6" s="50"/>
      <c r="J6" s="50"/>
      <c r="K6" s="50"/>
      <c r="L6" s="50"/>
      <c r="M6" s="214"/>
      <c r="N6" s="62"/>
      <c r="O6" s="62"/>
    </row>
    <row r="7" spans="1:40" s="3" customFormat="1">
      <c r="A7" s="2996" t="s">
        <v>9</v>
      </c>
      <c r="B7" s="2997"/>
      <c r="C7" s="373" t="s">
        <v>217</v>
      </c>
      <c r="D7" s="62"/>
      <c r="E7" s="62"/>
      <c r="F7" s="62"/>
      <c r="G7" s="62"/>
      <c r="H7" s="62"/>
      <c r="I7" s="62"/>
      <c r="J7" s="62"/>
      <c r="K7" s="62"/>
      <c r="L7" s="62"/>
      <c r="M7" s="215"/>
      <c r="N7" s="62"/>
      <c r="O7" s="62"/>
    </row>
    <row r="8" spans="1:40" s="3" customFormat="1" ht="13.5" thickBot="1">
      <c r="A8" s="2994" t="s">
        <v>21</v>
      </c>
      <c r="B8" s="2995"/>
      <c r="C8" s="3005"/>
      <c r="D8" s="3006"/>
      <c r="E8" s="3006"/>
      <c r="F8" s="3006"/>
      <c r="G8" s="3006"/>
      <c r="H8" s="3006"/>
      <c r="I8" s="3006"/>
      <c r="J8" s="3006"/>
      <c r="K8" s="3006"/>
      <c r="L8" s="3006"/>
      <c r="M8" s="3007"/>
      <c r="N8" s="62"/>
      <c r="O8" s="62"/>
      <c r="AN8" s="836"/>
    </row>
    <row r="9" spans="1:40" s="3" customFormat="1" ht="3.75" customHeight="1" thickBot="1">
      <c r="A9" s="1371"/>
      <c r="B9" s="1371"/>
      <c r="C9" s="1370"/>
      <c r="D9" s="1370"/>
      <c r="E9" s="1370"/>
      <c r="F9" s="1370"/>
      <c r="G9" s="1370"/>
      <c r="H9" s="1370"/>
      <c r="I9" s="1370"/>
      <c r="J9" s="1370"/>
      <c r="K9" s="1370"/>
      <c r="L9" s="1370"/>
      <c r="M9" s="1370"/>
      <c r="N9" s="62"/>
      <c r="O9" s="62"/>
      <c r="AN9" s="836"/>
    </row>
    <row r="10" spans="1:40" s="3" customFormat="1" ht="9" hidden="1" customHeight="1" thickBot="1">
      <c r="A10" s="373"/>
      <c r="B10" s="373"/>
      <c r="C10" s="373"/>
      <c r="D10" s="62"/>
      <c r="E10" s="62"/>
      <c r="F10" s="62"/>
      <c r="G10" s="62"/>
      <c r="H10" s="62"/>
      <c r="I10" s="62"/>
      <c r="J10" s="62"/>
      <c r="K10" s="62"/>
      <c r="L10" s="62"/>
      <c r="M10" s="62"/>
      <c r="N10" s="62"/>
      <c r="O10" s="62"/>
    </row>
    <row r="11" spans="1:40" s="423" customFormat="1" ht="18.75" thickBot="1">
      <c r="A11" s="2988" t="s">
        <v>222</v>
      </c>
      <c r="B11" s="2989"/>
      <c r="C11" s="2989"/>
      <c r="D11" s="2989"/>
      <c r="E11" s="2989"/>
      <c r="F11" s="2989"/>
      <c r="G11" s="2989"/>
      <c r="H11" s="2989"/>
      <c r="I11" s="2989"/>
      <c r="J11" s="2989"/>
      <c r="K11" s="2989"/>
      <c r="L11" s="2989"/>
      <c r="M11" s="2990"/>
      <c r="N11" s="839"/>
      <c r="O11" s="839"/>
    </row>
    <row r="12" spans="1:40" s="4" customFormat="1" ht="48.75" customHeight="1" thickBot="1">
      <c r="A12" s="208" t="s">
        <v>220</v>
      </c>
      <c r="B12" s="200" t="s">
        <v>209</v>
      </c>
      <c r="C12" s="200" t="s">
        <v>495</v>
      </c>
      <c r="D12" s="200" t="s">
        <v>210</v>
      </c>
      <c r="E12" s="269" t="s">
        <v>211</v>
      </c>
      <c r="F12" s="200" t="s">
        <v>535</v>
      </c>
      <c r="G12" s="200" t="s">
        <v>782</v>
      </c>
      <c r="H12" s="200" t="s">
        <v>212</v>
      </c>
      <c r="I12" s="200" t="s">
        <v>857</v>
      </c>
      <c r="J12" s="269" t="s">
        <v>213</v>
      </c>
      <c r="K12" s="200" t="s">
        <v>422</v>
      </c>
      <c r="L12" s="269" t="s">
        <v>260</v>
      </c>
      <c r="M12" s="181" t="s">
        <v>214</v>
      </c>
      <c r="O12" s="422"/>
    </row>
    <row r="13" spans="1:40" ht="13.5" hidden="1" thickBot="1">
      <c r="A13" s="277">
        <v>40544</v>
      </c>
      <c r="B13" s="273">
        <v>713.20500000000004</v>
      </c>
      <c r="C13" s="375">
        <v>170.68899999999999</v>
      </c>
      <c r="D13" s="275">
        <v>1.726</v>
      </c>
      <c r="E13" s="276">
        <v>1914.6869999999999</v>
      </c>
      <c r="F13" s="275"/>
      <c r="G13" s="275"/>
      <c r="H13" s="275">
        <v>275.59699999999998</v>
      </c>
      <c r="I13" s="276"/>
      <c r="J13" s="276">
        <v>7.9856800000000003</v>
      </c>
      <c r="K13" s="275"/>
      <c r="L13" s="274"/>
      <c r="M13" s="586">
        <f t="shared" ref="M13:M24" si="0">SUM(B13:J13)</f>
        <v>3083.8896799999993</v>
      </c>
    </row>
    <row r="14" spans="1:40" ht="13.5" hidden="1" thickBot="1">
      <c r="A14" s="206">
        <v>40575</v>
      </c>
      <c r="B14" s="240">
        <v>760.22799999999995</v>
      </c>
      <c r="C14" s="376">
        <v>57.279000000000003</v>
      </c>
      <c r="D14" s="242">
        <v>1.2709999999999999</v>
      </c>
      <c r="E14" s="243">
        <v>1805.318</v>
      </c>
      <c r="F14" s="242"/>
      <c r="G14" s="242"/>
      <c r="H14" s="242">
        <v>257.827</v>
      </c>
      <c r="I14" s="243"/>
      <c r="J14" s="243">
        <v>16.946999999999999</v>
      </c>
      <c r="K14" s="242"/>
      <c r="L14" s="241"/>
      <c r="M14" s="587">
        <f t="shared" si="0"/>
        <v>2898.87</v>
      </c>
    </row>
    <row r="15" spans="1:40" ht="13.5" hidden="1" thickBot="1">
      <c r="A15" s="206">
        <v>40603</v>
      </c>
      <c r="B15" s="240">
        <v>845.68899999999996</v>
      </c>
      <c r="C15" s="376">
        <v>66.114640625000007</v>
      </c>
      <c r="D15" s="242">
        <v>1.47</v>
      </c>
      <c r="E15" s="243">
        <v>2044.579</v>
      </c>
      <c r="F15" s="242"/>
      <c r="G15" s="242"/>
      <c r="H15" s="242">
        <v>312.59800000000001</v>
      </c>
      <c r="I15" s="243"/>
      <c r="J15" s="243">
        <v>17.978999999999999</v>
      </c>
      <c r="K15" s="242"/>
      <c r="L15" s="241"/>
      <c r="M15" s="587">
        <f t="shared" si="0"/>
        <v>3288.4296406249996</v>
      </c>
    </row>
    <row r="16" spans="1:40" ht="13.5" hidden="1" thickBot="1">
      <c r="A16" s="206">
        <v>40634</v>
      </c>
      <c r="B16" s="240">
        <v>940.07</v>
      </c>
      <c r="C16" s="376">
        <v>7.22</v>
      </c>
      <c r="D16" s="242">
        <v>1.3839999999999999</v>
      </c>
      <c r="E16" s="243">
        <v>2055.116</v>
      </c>
      <c r="F16" s="242"/>
      <c r="G16" s="242"/>
      <c r="H16" s="242">
        <v>291.11799999999999</v>
      </c>
      <c r="I16" s="243"/>
      <c r="J16" s="243">
        <v>19.052400000000002</v>
      </c>
      <c r="K16" s="242"/>
      <c r="L16" s="241"/>
      <c r="M16" s="587">
        <f t="shared" si="0"/>
        <v>3313.9603999999999</v>
      </c>
    </row>
    <row r="17" spans="1:13" ht="13.5" hidden="1" thickBot="1">
      <c r="A17" s="206">
        <v>40664</v>
      </c>
      <c r="B17" s="240">
        <v>564.03099999999995</v>
      </c>
      <c r="C17" s="376">
        <v>398.846</v>
      </c>
      <c r="D17" s="242">
        <v>1.4590000000000001</v>
      </c>
      <c r="E17" s="243">
        <v>2087.6260000000002</v>
      </c>
      <c r="F17" s="242"/>
      <c r="G17" s="242"/>
      <c r="H17" s="242">
        <v>298.60199999999998</v>
      </c>
      <c r="I17" s="243"/>
      <c r="J17" s="243">
        <v>14.765600000000001</v>
      </c>
      <c r="K17" s="242"/>
      <c r="L17" s="241"/>
      <c r="M17" s="587">
        <f t="shared" si="0"/>
        <v>3365.3296</v>
      </c>
    </row>
    <row r="18" spans="1:13" ht="13.5" hidden="1" thickBot="1">
      <c r="A18" s="206">
        <v>40695</v>
      </c>
      <c r="B18" s="240">
        <v>441.72800000000001</v>
      </c>
      <c r="C18" s="376">
        <v>423.51400000000001</v>
      </c>
      <c r="D18" s="242">
        <v>1.3180000000000001</v>
      </c>
      <c r="E18" s="243">
        <v>1807.4849999999999</v>
      </c>
      <c r="F18" s="242"/>
      <c r="G18" s="242"/>
      <c r="H18" s="242">
        <v>249.55500000000001</v>
      </c>
      <c r="I18" s="243"/>
      <c r="J18" s="243">
        <v>16.249509090909093</v>
      </c>
      <c r="K18" s="242"/>
      <c r="L18" s="241"/>
      <c r="M18" s="587">
        <f t="shared" si="0"/>
        <v>2939.8495090909091</v>
      </c>
    </row>
    <row r="19" spans="1:13" ht="13.5" hidden="1" thickBot="1">
      <c r="A19" s="207">
        <v>40725</v>
      </c>
      <c r="B19" s="244">
        <v>363.96300000000002</v>
      </c>
      <c r="C19" s="377">
        <v>460.28199999999998</v>
      </c>
      <c r="D19" s="246">
        <v>1.4530000000000001</v>
      </c>
      <c r="E19" s="247">
        <v>1716.172</v>
      </c>
      <c r="F19" s="246"/>
      <c r="G19" s="246"/>
      <c r="H19" s="246">
        <v>241.458</v>
      </c>
      <c r="I19" s="247"/>
      <c r="J19" s="247">
        <v>17.93216</v>
      </c>
      <c r="K19" s="246"/>
      <c r="L19" s="245"/>
      <c r="M19" s="587">
        <f t="shared" si="0"/>
        <v>2801.2601599999998</v>
      </c>
    </row>
    <row r="20" spans="1:13" ht="13.5" hidden="1" thickBot="1">
      <c r="A20" s="207">
        <v>40756</v>
      </c>
      <c r="B20" s="244">
        <v>310.17</v>
      </c>
      <c r="C20" s="377">
        <v>444.57</v>
      </c>
      <c r="D20" s="246">
        <v>1.5149999999999999</v>
      </c>
      <c r="E20" s="247">
        <v>1622.7619999999999</v>
      </c>
      <c r="F20" s="246"/>
      <c r="G20" s="246"/>
      <c r="H20" s="246">
        <v>226.02500000000001</v>
      </c>
      <c r="I20" s="247"/>
      <c r="J20" s="247">
        <v>15.634</v>
      </c>
      <c r="K20" s="246"/>
      <c r="L20" s="245"/>
      <c r="M20" s="587">
        <f t="shared" si="0"/>
        <v>2620.6759999999999</v>
      </c>
    </row>
    <row r="21" spans="1:13" ht="13.5" hidden="1" thickBot="1">
      <c r="A21" s="207">
        <v>40787</v>
      </c>
      <c r="B21" s="244">
        <v>410.26299999999998</v>
      </c>
      <c r="C21" s="377">
        <v>358.05399999999997</v>
      </c>
      <c r="D21" s="246">
        <v>1.484</v>
      </c>
      <c r="E21" s="247">
        <v>1588.83</v>
      </c>
      <c r="F21" s="246"/>
      <c r="G21" s="246"/>
      <c r="H21" s="246">
        <v>216.58</v>
      </c>
      <c r="I21" s="247"/>
      <c r="J21" s="247">
        <v>16.074000000000002</v>
      </c>
      <c r="K21" s="246"/>
      <c r="L21" s="245"/>
      <c r="M21" s="587">
        <f t="shared" si="0"/>
        <v>2591.2849999999999</v>
      </c>
    </row>
    <row r="22" spans="1:13" ht="13.5" hidden="1" thickBot="1">
      <c r="A22" s="207">
        <v>40817</v>
      </c>
      <c r="B22" s="244">
        <v>387.74400000000003</v>
      </c>
      <c r="C22" s="377">
        <v>355.52</v>
      </c>
      <c r="D22" s="246">
        <v>1.643</v>
      </c>
      <c r="E22" s="247">
        <v>1642.491</v>
      </c>
      <c r="F22" s="246"/>
      <c r="G22" s="246"/>
      <c r="H22" s="246">
        <v>239.39599999999999</v>
      </c>
      <c r="I22" s="247"/>
      <c r="J22" s="247">
        <v>17.302</v>
      </c>
      <c r="K22" s="246"/>
      <c r="L22" s="245"/>
      <c r="M22" s="587">
        <f t="shared" si="0"/>
        <v>2644.0960000000005</v>
      </c>
    </row>
    <row r="23" spans="1:13" ht="13.5" hidden="1" thickBot="1">
      <c r="A23" s="206">
        <v>40848</v>
      </c>
      <c r="B23" s="240">
        <v>392.58100000000002</v>
      </c>
      <c r="C23" s="376">
        <v>372.572</v>
      </c>
      <c r="D23" s="242">
        <v>1.492</v>
      </c>
      <c r="E23" s="243">
        <v>1612.83</v>
      </c>
      <c r="F23" s="242"/>
      <c r="G23" s="242"/>
      <c r="H23" s="242">
        <v>238.75</v>
      </c>
      <c r="I23" s="243"/>
      <c r="J23" s="243">
        <v>17.844999999999999</v>
      </c>
      <c r="K23" s="242"/>
      <c r="L23" s="241"/>
      <c r="M23" s="587">
        <f t="shared" si="0"/>
        <v>2636.0699999999997</v>
      </c>
    </row>
    <row r="24" spans="1:13" ht="13.5" hidden="1" thickBot="1">
      <c r="A24" s="853">
        <v>40878</v>
      </c>
      <c r="B24" s="854">
        <v>637.31700000000001</v>
      </c>
      <c r="C24" s="855">
        <v>229.965</v>
      </c>
      <c r="D24" s="856">
        <v>1.6359999999999999</v>
      </c>
      <c r="E24" s="857">
        <v>1877.028</v>
      </c>
      <c r="F24" s="856"/>
      <c r="G24" s="856"/>
      <c r="H24" s="856">
        <v>272.55799999999999</v>
      </c>
      <c r="I24" s="857"/>
      <c r="J24" s="857">
        <v>24.062000000000001</v>
      </c>
      <c r="K24" s="856"/>
      <c r="L24" s="858"/>
      <c r="M24" s="859">
        <f t="shared" si="0"/>
        <v>3042.5659999999998</v>
      </c>
    </row>
    <row r="25" spans="1:13">
      <c r="A25" s="862" t="s">
        <v>6</v>
      </c>
      <c r="B25" s="863">
        <f>SUM(B13:B24)</f>
        <v>6766.9889999999996</v>
      </c>
      <c r="C25" s="864">
        <f t="shared" ref="C25:M25" si="1">SUM(C13:C24)</f>
        <v>3344.6256406250004</v>
      </c>
      <c r="D25" s="865">
        <f t="shared" si="1"/>
        <v>17.850999999999999</v>
      </c>
      <c r="E25" s="866">
        <f t="shared" si="1"/>
        <v>21774.924000000006</v>
      </c>
      <c r="F25" s="865">
        <f t="shared" si="1"/>
        <v>0</v>
      </c>
      <c r="G25" s="865">
        <f t="shared" si="1"/>
        <v>0</v>
      </c>
      <c r="H25" s="865">
        <f t="shared" si="1"/>
        <v>3120.0639999999999</v>
      </c>
      <c r="I25" s="865"/>
      <c r="J25" s="865">
        <f t="shared" si="1"/>
        <v>201.82834909090911</v>
      </c>
      <c r="K25" s="867">
        <f t="shared" si="1"/>
        <v>0</v>
      </c>
      <c r="L25" s="769">
        <f t="shared" si="1"/>
        <v>0</v>
      </c>
      <c r="M25" s="769">
        <f t="shared" si="1"/>
        <v>35226.281989715906</v>
      </c>
    </row>
    <row r="26" spans="1:13" hidden="1">
      <c r="A26" s="206">
        <v>40909</v>
      </c>
      <c r="B26" s="840">
        <v>847.90099999999995</v>
      </c>
      <c r="C26" s="483">
        <v>85.915000000000006</v>
      </c>
      <c r="D26" s="768">
        <v>1.5069999999999999</v>
      </c>
      <c r="E26" s="841">
        <v>2105.92</v>
      </c>
      <c r="F26" s="768"/>
      <c r="G26" s="768"/>
      <c r="H26" s="768">
        <v>304.43700000000001</v>
      </c>
      <c r="I26" s="768"/>
      <c r="J26" s="768">
        <v>26.408000000000001</v>
      </c>
      <c r="K26" s="485"/>
      <c r="L26" s="484"/>
      <c r="M26" s="484">
        <f t="shared" ref="M26:M37" si="2">SUM(B26:J26)</f>
        <v>3372.0879999999997</v>
      </c>
    </row>
    <row r="27" spans="1:13" hidden="1">
      <c r="A27" s="206">
        <v>40940</v>
      </c>
      <c r="B27" s="840">
        <v>881.18299999999999</v>
      </c>
      <c r="C27" s="483">
        <v>19.420999999999999</v>
      </c>
      <c r="D27" s="768">
        <v>1.244</v>
      </c>
      <c r="E27" s="841">
        <v>1894.2890000000002</v>
      </c>
      <c r="F27" s="768"/>
      <c r="G27" s="768"/>
      <c r="H27" s="768">
        <v>295.495</v>
      </c>
      <c r="I27" s="768"/>
      <c r="J27" s="768">
        <v>22.481000000000002</v>
      </c>
      <c r="K27" s="485"/>
      <c r="L27" s="484"/>
      <c r="M27" s="484">
        <f t="shared" si="2"/>
        <v>3114.1130000000003</v>
      </c>
    </row>
    <row r="28" spans="1:13" hidden="1">
      <c r="A28" s="206">
        <v>40969</v>
      </c>
      <c r="B28" s="840">
        <v>892.303</v>
      </c>
      <c r="C28" s="483">
        <v>166.048</v>
      </c>
      <c r="D28" s="768">
        <v>1.2150000000000001</v>
      </c>
      <c r="E28" s="841">
        <v>2244.2460000000001</v>
      </c>
      <c r="F28" s="768"/>
      <c r="G28" s="768"/>
      <c r="H28" s="768">
        <v>360.88099999999997</v>
      </c>
      <c r="I28" s="768"/>
      <c r="J28" s="768">
        <v>30.491</v>
      </c>
      <c r="K28" s="485"/>
      <c r="L28" s="484"/>
      <c r="M28" s="484">
        <f t="shared" si="2"/>
        <v>3695.1839999999997</v>
      </c>
    </row>
    <row r="29" spans="1:13" hidden="1">
      <c r="A29" s="206">
        <v>41000</v>
      </c>
      <c r="B29" s="840">
        <v>1000.277</v>
      </c>
      <c r="C29" s="483">
        <v>55.441000000000003</v>
      </c>
      <c r="D29" s="768">
        <v>1.4930000000000001</v>
      </c>
      <c r="E29" s="841">
        <v>2182.7439999999997</v>
      </c>
      <c r="F29" s="768"/>
      <c r="G29" s="768"/>
      <c r="H29" s="768">
        <v>338.57600000000002</v>
      </c>
      <c r="I29" s="768"/>
      <c r="J29" s="768">
        <v>31.367000000000001</v>
      </c>
      <c r="K29" s="485"/>
      <c r="L29" s="484"/>
      <c r="M29" s="484">
        <f t="shared" si="2"/>
        <v>3609.8980000000001</v>
      </c>
    </row>
    <row r="30" spans="1:13" hidden="1">
      <c r="A30" s="206">
        <v>41030</v>
      </c>
      <c r="B30" s="840">
        <v>964.78099999999995</v>
      </c>
      <c r="C30" s="483">
        <v>115.349</v>
      </c>
      <c r="D30" s="768">
        <v>1.47</v>
      </c>
      <c r="E30" s="841">
        <v>2274.4620000000004</v>
      </c>
      <c r="F30" s="768"/>
      <c r="G30" s="768"/>
      <c r="H30" s="768">
        <v>347.96199999999999</v>
      </c>
      <c r="I30" s="768"/>
      <c r="J30" s="768">
        <v>32.588999999999999</v>
      </c>
      <c r="K30" s="485"/>
      <c r="L30" s="484"/>
      <c r="M30" s="484">
        <f t="shared" si="2"/>
        <v>3736.6130000000003</v>
      </c>
    </row>
    <row r="31" spans="1:13" hidden="1">
      <c r="A31" s="206">
        <v>41061</v>
      </c>
      <c r="B31" s="840">
        <v>839.84400000000005</v>
      </c>
      <c r="C31" s="483">
        <v>128.27799999999999</v>
      </c>
      <c r="D31" s="768">
        <v>1.367</v>
      </c>
      <c r="E31" s="841">
        <v>2146.54</v>
      </c>
      <c r="F31" s="768"/>
      <c r="G31" s="768"/>
      <c r="H31" s="768">
        <v>316.09500000000003</v>
      </c>
      <c r="I31" s="768"/>
      <c r="J31" s="768">
        <v>31.702000000000002</v>
      </c>
      <c r="K31" s="485"/>
      <c r="L31" s="484"/>
      <c r="M31" s="484">
        <f t="shared" si="2"/>
        <v>3463.826</v>
      </c>
    </row>
    <row r="32" spans="1:13" hidden="1">
      <c r="A32" s="206">
        <v>41091</v>
      </c>
      <c r="B32" s="840">
        <v>635.36300000000006</v>
      </c>
      <c r="C32" s="483">
        <v>265.22500000000002</v>
      </c>
      <c r="D32" s="768">
        <v>1.4430000000000001</v>
      </c>
      <c r="E32" s="841">
        <v>1927.056</v>
      </c>
      <c r="F32" s="768"/>
      <c r="G32" s="768"/>
      <c r="H32" s="768">
        <v>288.48399999999998</v>
      </c>
      <c r="I32" s="768"/>
      <c r="J32" s="768">
        <v>29.914000000000001</v>
      </c>
      <c r="K32" s="485"/>
      <c r="L32" s="484"/>
      <c r="M32" s="484">
        <f t="shared" si="2"/>
        <v>3147.4850000000001</v>
      </c>
    </row>
    <row r="33" spans="1:15" hidden="1">
      <c r="A33" s="206">
        <v>41122</v>
      </c>
      <c r="B33" s="840">
        <v>443.53899999999999</v>
      </c>
      <c r="C33" s="483">
        <v>403.16300000000001</v>
      </c>
      <c r="D33" s="768">
        <v>1.103</v>
      </c>
      <c r="E33" s="841">
        <v>1898.35</v>
      </c>
      <c r="F33" s="768"/>
      <c r="G33" s="768"/>
      <c r="H33" s="768">
        <v>262.48</v>
      </c>
      <c r="I33" s="768"/>
      <c r="J33" s="768">
        <v>29.56</v>
      </c>
      <c r="K33" s="485"/>
      <c r="L33" s="484"/>
      <c r="M33" s="484">
        <f t="shared" si="2"/>
        <v>3038.1949999999997</v>
      </c>
    </row>
    <row r="34" spans="1:15" hidden="1">
      <c r="A34" s="206">
        <v>41153</v>
      </c>
      <c r="B34" s="840">
        <v>425.25099999999998</v>
      </c>
      <c r="C34" s="483">
        <v>353.42899999999997</v>
      </c>
      <c r="D34" s="768">
        <v>1.343</v>
      </c>
      <c r="E34" s="841">
        <v>1763.67</v>
      </c>
      <c r="F34" s="768"/>
      <c r="G34" s="768"/>
      <c r="H34" s="768">
        <v>242.82900000000001</v>
      </c>
      <c r="I34" s="768"/>
      <c r="J34" s="768">
        <v>31.488</v>
      </c>
      <c r="K34" s="485"/>
      <c r="L34" s="484"/>
      <c r="M34" s="484">
        <f t="shared" si="2"/>
        <v>2818.01</v>
      </c>
    </row>
    <row r="35" spans="1:15" hidden="1">
      <c r="A35" s="206">
        <v>41183</v>
      </c>
      <c r="B35" s="840">
        <v>547.19600000000003</v>
      </c>
      <c r="C35" s="483">
        <v>274.93099999999998</v>
      </c>
      <c r="D35" s="768">
        <v>1.6659999999999999</v>
      </c>
      <c r="E35" s="841">
        <v>1846.5640000000001</v>
      </c>
      <c r="F35" s="768"/>
      <c r="G35" s="768"/>
      <c r="H35" s="768">
        <v>247.751</v>
      </c>
      <c r="I35" s="768"/>
      <c r="J35" s="768">
        <v>33.642000000000003</v>
      </c>
      <c r="K35" s="485"/>
      <c r="L35" s="484"/>
      <c r="M35" s="484">
        <f t="shared" si="2"/>
        <v>2951.75</v>
      </c>
    </row>
    <row r="36" spans="1:15" hidden="1">
      <c r="A36" s="206">
        <v>41214</v>
      </c>
      <c r="B36" s="840">
        <v>522.70500000000004</v>
      </c>
      <c r="C36" s="483">
        <v>292.11</v>
      </c>
      <c r="D36" s="768">
        <v>1.42</v>
      </c>
      <c r="E36" s="841">
        <v>1848.0050000000001</v>
      </c>
      <c r="F36" s="768"/>
      <c r="G36" s="768"/>
      <c r="H36" s="768">
        <v>254.798</v>
      </c>
      <c r="I36" s="768"/>
      <c r="J36" s="768">
        <v>31.991</v>
      </c>
      <c r="K36" s="485"/>
      <c r="L36" s="484"/>
      <c r="M36" s="484">
        <f t="shared" si="2"/>
        <v>2951.0290000000005</v>
      </c>
    </row>
    <row r="37" spans="1:15" s="4" customFormat="1" hidden="1">
      <c r="A37" s="206">
        <v>41244</v>
      </c>
      <c r="B37" s="840">
        <v>667.73599999999999</v>
      </c>
      <c r="C37" s="483">
        <v>239.06299999999999</v>
      </c>
      <c r="D37" s="768">
        <v>1.4730000000000001</v>
      </c>
      <c r="E37" s="841">
        <v>2028.83</v>
      </c>
      <c r="F37" s="768"/>
      <c r="G37" s="768"/>
      <c r="H37" s="768">
        <v>273.91500000000002</v>
      </c>
      <c r="I37" s="768"/>
      <c r="J37" s="768">
        <v>32.576000000000001</v>
      </c>
      <c r="K37" s="485"/>
      <c r="L37" s="484"/>
      <c r="M37" s="484">
        <f t="shared" si="2"/>
        <v>3243.5929999999998</v>
      </c>
    </row>
    <row r="38" spans="1:15" s="4" customFormat="1">
      <c r="A38" s="206" t="s">
        <v>192</v>
      </c>
      <c r="B38" s="840">
        <f t="shared" ref="B38:M38" si="3">SUM(B26:B37)</f>
        <v>8668.0789999999997</v>
      </c>
      <c r="C38" s="483">
        <f t="shared" si="3"/>
        <v>2398.3730000000005</v>
      </c>
      <c r="D38" s="768">
        <f t="shared" si="3"/>
        <v>16.744</v>
      </c>
      <c r="E38" s="841">
        <f t="shared" si="3"/>
        <v>24160.675999999999</v>
      </c>
      <c r="F38" s="768">
        <f t="shared" si="3"/>
        <v>0</v>
      </c>
      <c r="G38" s="768">
        <f t="shared" si="3"/>
        <v>0</v>
      </c>
      <c r="H38" s="768">
        <f t="shared" si="3"/>
        <v>3533.7030000000004</v>
      </c>
      <c r="I38" s="768"/>
      <c r="J38" s="768">
        <f t="shared" si="3"/>
        <v>364.209</v>
      </c>
      <c r="K38" s="485">
        <f t="shared" si="3"/>
        <v>0</v>
      </c>
      <c r="L38" s="484">
        <f t="shared" si="3"/>
        <v>0</v>
      </c>
      <c r="M38" s="484">
        <f t="shared" si="3"/>
        <v>39141.784000000007</v>
      </c>
    </row>
    <row r="39" spans="1:15" s="378" customFormat="1" hidden="1">
      <c r="A39" s="277">
        <v>41275</v>
      </c>
      <c r="B39" s="861">
        <v>822.41700000000003</v>
      </c>
      <c r="C39" s="936">
        <v>161.375</v>
      </c>
      <c r="D39" s="937">
        <v>1.413</v>
      </c>
      <c r="E39" s="938">
        <v>2332.7040000000002</v>
      </c>
      <c r="F39" s="937"/>
      <c r="G39" s="937"/>
      <c r="H39" s="937">
        <v>317.976</v>
      </c>
      <c r="I39" s="937"/>
      <c r="J39" s="937">
        <v>32.252000000000002</v>
      </c>
      <c r="K39" s="939">
        <v>0</v>
      </c>
      <c r="L39" s="940"/>
      <c r="M39" s="940">
        <f t="shared" ref="M39:M46" si="4">SUM(B39:J39)</f>
        <v>3668.1370000000002</v>
      </c>
      <c r="N39" s="4"/>
      <c r="O39" s="4"/>
    </row>
    <row r="40" spans="1:15" hidden="1">
      <c r="A40" s="206">
        <v>41306</v>
      </c>
      <c r="B40" s="840">
        <v>867.99900000000002</v>
      </c>
      <c r="C40" s="483">
        <v>68.509</v>
      </c>
      <c r="D40" s="768">
        <v>1.1879999999999999</v>
      </c>
      <c r="E40" s="841">
        <v>2218.89</v>
      </c>
      <c r="F40" s="768"/>
      <c r="G40" s="768"/>
      <c r="H40" s="768">
        <v>319.738</v>
      </c>
      <c r="I40" s="768"/>
      <c r="J40" s="768">
        <v>28.696999999999999</v>
      </c>
      <c r="K40" s="485">
        <v>0</v>
      </c>
      <c r="L40" s="484"/>
      <c r="M40" s="484">
        <f t="shared" si="4"/>
        <v>3505.0209999999997</v>
      </c>
    </row>
    <row r="41" spans="1:15" hidden="1">
      <c r="A41" s="206">
        <v>41334</v>
      </c>
      <c r="B41" s="840">
        <v>1010.206</v>
      </c>
      <c r="C41" s="483">
        <v>109.361</v>
      </c>
      <c r="D41" s="768">
        <v>1.2589999999999999</v>
      </c>
      <c r="E41" s="841">
        <v>2558.9349999999999</v>
      </c>
      <c r="F41" s="768"/>
      <c r="G41" s="768"/>
      <c r="H41" s="768">
        <v>397.61799999999999</v>
      </c>
      <c r="I41" s="768"/>
      <c r="J41" s="768">
        <v>17.308700000000002</v>
      </c>
      <c r="K41" s="485">
        <v>15.3813</v>
      </c>
      <c r="L41" s="484"/>
      <c r="M41" s="484">
        <f t="shared" si="4"/>
        <v>4094.6876999999999</v>
      </c>
    </row>
    <row r="42" spans="1:15" hidden="1">
      <c r="A42" s="206">
        <v>41365</v>
      </c>
      <c r="B42" s="840">
        <v>1094.1600000000001</v>
      </c>
      <c r="C42" s="483">
        <v>39.216000000000001</v>
      </c>
      <c r="D42" s="768">
        <v>1.44</v>
      </c>
      <c r="E42" s="841">
        <v>2408.846</v>
      </c>
      <c r="F42" s="768"/>
      <c r="G42" s="768"/>
      <c r="H42" s="768">
        <v>381.11900000000003</v>
      </c>
      <c r="I42" s="768"/>
      <c r="J42" s="768">
        <v>15.590999999999999</v>
      </c>
      <c r="K42" s="485">
        <v>15.590999999999999</v>
      </c>
      <c r="L42" s="484"/>
      <c r="M42" s="484">
        <f t="shared" si="4"/>
        <v>3940.3720000000003</v>
      </c>
    </row>
    <row r="43" spans="1:15" hidden="1">
      <c r="A43" s="206">
        <v>41395</v>
      </c>
      <c r="B43" s="840">
        <v>606.16300000000001</v>
      </c>
      <c r="C43" s="483">
        <v>386.31299999999999</v>
      </c>
      <c r="D43" s="768">
        <v>1.5649999999999999</v>
      </c>
      <c r="E43" s="841">
        <v>2217.1559999999999</v>
      </c>
      <c r="F43" s="768"/>
      <c r="G43" s="768"/>
      <c r="H43" s="768">
        <v>322.78399999999999</v>
      </c>
      <c r="I43" s="768"/>
      <c r="J43" s="768">
        <v>14.089</v>
      </c>
      <c r="K43" s="485">
        <v>14.823</v>
      </c>
      <c r="L43" s="484"/>
      <c r="M43" s="484">
        <f t="shared" si="4"/>
        <v>3548.07</v>
      </c>
    </row>
    <row r="44" spans="1:15" hidden="1">
      <c r="A44" s="206">
        <v>41426</v>
      </c>
      <c r="B44" s="840">
        <v>372.72800000000001</v>
      </c>
      <c r="C44" s="483">
        <v>494.04399999999998</v>
      </c>
      <c r="D44" s="768">
        <v>1.375</v>
      </c>
      <c r="E44" s="841">
        <v>1917.3979999999999</v>
      </c>
      <c r="F44" s="768"/>
      <c r="G44" s="768"/>
      <c r="H44" s="768">
        <v>271.33199999999999</v>
      </c>
      <c r="I44" s="768"/>
      <c r="J44" s="768">
        <v>13.323</v>
      </c>
      <c r="K44" s="485">
        <v>13.323</v>
      </c>
      <c r="L44" s="484"/>
      <c r="M44" s="484">
        <f t="shared" si="4"/>
        <v>3070.2</v>
      </c>
    </row>
    <row r="45" spans="1:15" hidden="1">
      <c r="A45" s="206">
        <v>41456</v>
      </c>
      <c r="B45" s="840">
        <v>464.11900000000003</v>
      </c>
      <c r="C45" s="483">
        <v>394.166</v>
      </c>
      <c r="D45" s="768">
        <v>1.393</v>
      </c>
      <c r="E45" s="841">
        <v>1919.482</v>
      </c>
      <c r="F45" s="768"/>
      <c r="G45" s="768"/>
      <c r="H45" s="768">
        <v>274.04199999999997</v>
      </c>
      <c r="I45" s="768"/>
      <c r="J45" s="768">
        <v>14.0495</v>
      </c>
      <c r="K45" s="485">
        <v>14.0495</v>
      </c>
      <c r="L45" s="484"/>
      <c r="M45" s="484">
        <f t="shared" si="4"/>
        <v>3067.2514999999999</v>
      </c>
    </row>
    <row r="46" spans="1:15" hidden="1">
      <c r="A46" s="206">
        <v>41487</v>
      </c>
      <c r="B46" s="840">
        <v>396.44600000000003</v>
      </c>
      <c r="C46" s="483">
        <v>430.03899999999999</v>
      </c>
      <c r="D46" s="768">
        <v>1.4650000000000001</v>
      </c>
      <c r="E46" s="841">
        <v>1862.0940000000001</v>
      </c>
      <c r="F46" s="768"/>
      <c r="G46" s="768"/>
      <c r="H46" s="768">
        <v>266.97899999999998</v>
      </c>
      <c r="I46" s="768"/>
      <c r="J46" s="768">
        <v>6.9969999999999999</v>
      </c>
      <c r="K46" s="485">
        <v>20.991</v>
      </c>
      <c r="L46" s="484"/>
      <c r="M46" s="484">
        <f t="shared" si="4"/>
        <v>2964.0199999999995</v>
      </c>
    </row>
    <row r="47" spans="1:15" hidden="1">
      <c r="A47" s="206">
        <v>41518</v>
      </c>
      <c r="B47" s="840">
        <v>439.45</v>
      </c>
      <c r="C47" s="483">
        <v>370.89299999999997</v>
      </c>
      <c r="D47" s="768">
        <v>1.4259999999999999</v>
      </c>
      <c r="E47" s="841">
        <v>1756.9169999999999</v>
      </c>
      <c r="F47" s="768"/>
      <c r="G47" s="768"/>
      <c r="H47" s="768">
        <v>254.90600000000001</v>
      </c>
      <c r="I47" s="768"/>
      <c r="J47" s="768">
        <v>6.82775</v>
      </c>
      <c r="K47" s="485">
        <v>20.483250000000002</v>
      </c>
      <c r="L47" s="484"/>
      <c r="M47" s="484">
        <f>SUM(B47:L47)</f>
        <v>2850.9029999999998</v>
      </c>
    </row>
    <row r="48" spans="1:15" hidden="1">
      <c r="A48" s="206">
        <v>41548</v>
      </c>
      <c r="B48" s="840">
        <v>509.6</v>
      </c>
      <c r="C48" s="483">
        <v>342.67200000000003</v>
      </c>
      <c r="D48" s="768">
        <v>1.55</v>
      </c>
      <c r="E48" s="841">
        <v>1879.6679999999999</v>
      </c>
      <c r="F48" s="768"/>
      <c r="G48" s="768"/>
      <c r="H48" s="768">
        <v>271.49299999999999</v>
      </c>
      <c r="I48" s="768"/>
      <c r="J48" s="768">
        <v>7.5525000000000002</v>
      </c>
      <c r="K48" s="485">
        <v>21.311250000000001</v>
      </c>
      <c r="L48" s="484"/>
      <c r="M48" s="484">
        <f>SUM(B48:L48)</f>
        <v>3033.8467499999997</v>
      </c>
      <c r="N48" s="111"/>
      <c r="O48" s="111"/>
    </row>
    <row r="49" spans="1:15" hidden="1">
      <c r="A49" s="206">
        <v>41579</v>
      </c>
      <c r="B49" s="840">
        <v>517.95799999999997</v>
      </c>
      <c r="C49" s="483">
        <v>355.392</v>
      </c>
      <c r="D49" s="768">
        <v>1.4910000000000001</v>
      </c>
      <c r="E49" s="841">
        <v>1899.35</v>
      </c>
      <c r="F49" s="768"/>
      <c r="G49" s="768"/>
      <c r="H49" s="768">
        <v>278.57299999999998</v>
      </c>
      <c r="I49" s="768"/>
      <c r="J49" s="768">
        <v>6.8505000000000003</v>
      </c>
      <c r="K49" s="485">
        <v>20.578499999999998</v>
      </c>
      <c r="L49" s="484"/>
      <c r="M49" s="484">
        <f>SUM(B49:L49)</f>
        <v>3080.1929999999998</v>
      </c>
      <c r="N49" s="111"/>
      <c r="O49" s="111"/>
    </row>
    <row r="50" spans="1:15" hidden="1">
      <c r="A50" s="206">
        <v>41609</v>
      </c>
      <c r="B50" s="840">
        <v>728.36900000000003</v>
      </c>
      <c r="C50" s="483">
        <v>299.47106000000002</v>
      </c>
      <c r="D50" s="768">
        <v>1.4159999999999999</v>
      </c>
      <c r="E50" s="841">
        <v>2202.0320000000002</v>
      </c>
      <c r="F50" s="768"/>
      <c r="G50" s="768"/>
      <c r="H50" s="768">
        <v>327.35199999999998</v>
      </c>
      <c r="I50" s="768"/>
      <c r="J50" s="768">
        <v>7.0202499999999999</v>
      </c>
      <c r="K50" s="485">
        <v>21.049250000000001</v>
      </c>
      <c r="L50" s="484"/>
      <c r="M50" s="484">
        <f>SUM(B50:L50)</f>
        <v>3586.7095599999998</v>
      </c>
      <c r="N50" s="111"/>
      <c r="O50" s="111"/>
    </row>
    <row r="51" spans="1:15">
      <c r="A51" s="206" t="s">
        <v>375</v>
      </c>
      <c r="B51" s="840">
        <f t="shared" ref="B51:M51" si="5">SUM(B39:B50)</f>
        <v>7829.6149999999989</v>
      </c>
      <c r="C51" s="483">
        <f t="shared" si="5"/>
        <v>3451.4510599999999</v>
      </c>
      <c r="D51" s="768">
        <f t="shared" si="5"/>
        <v>16.981000000000002</v>
      </c>
      <c r="E51" s="841">
        <f t="shared" si="5"/>
        <v>25173.471999999998</v>
      </c>
      <c r="F51" s="768">
        <f t="shared" si="5"/>
        <v>0</v>
      </c>
      <c r="G51" s="768">
        <f t="shared" si="5"/>
        <v>0</v>
      </c>
      <c r="H51" s="768">
        <f t="shared" si="5"/>
        <v>3683.9119999999994</v>
      </c>
      <c r="I51" s="768"/>
      <c r="J51" s="768">
        <f t="shared" si="5"/>
        <v>170.5582</v>
      </c>
      <c r="K51" s="485">
        <f t="shared" si="5"/>
        <v>177.58105</v>
      </c>
      <c r="L51" s="484">
        <f t="shared" si="5"/>
        <v>0</v>
      </c>
      <c r="M51" s="484">
        <f t="shared" si="5"/>
        <v>40409.411509999998</v>
      </c>
      <c r="N51" s="111"/>
      <c r="O51" s="111"/>
    </row>
    <row r="52" spans="1:15" hidden="1">
      <c r="A52" s="206">
        <v>41640</v>
      </c>
      <c r="B52" s="840">
        <v>889.51900000000001</v>
      </c>
      <c r="C52" s="483">
        <v>266.58323437500002</v>
      </c>
      <c r="D52" s="768">
        <v>1.534</v>
      </c>
      <c r="E52" s="841">
        <v>2516.701</v>
      </c>
      <c r="F52" s="768"/>
      <c r="G52" s="768"/>
      <c r="H52" s="768">
        <v>383.22899999999998</v>
      </c>
      <c r="I52" s="768"/>
      <c r="J52" s="768">
        <v>6.8345000000000002</v>
      </c>
      <c r="K52" s="485">
        <v>20.503499999999999</v>
      </c>
      <c r="L52" s="484"/>
      <c r="M52" s="484">
        <f t="shared" ref="M52:M63" si="6">SUM(B52:L52)</f>
        <v>4084.9042343749998</v>
      </c>
      <c r="N52" s="111"/>
      <c r="O52" s="111"/>
    </row>
    <row r="53" spans="1:15" hidden="1">
      <c r="A53" s="206">
        <v>41671</v>
      </c>
      <c r="B53" s="840">
        <v>967.28700000000003</v>
      </c>
      <c r="C53" s="483">
        <v>206.78970312499999</v>
      </c>
      <c r="D53" s="768">
        <v>1.464</v>
      </c>
      <c r="E53" s="841">
        <v>2530.9290000000001</v>
      </c>
      <c r="F53" s="768"/>
      <c r="G53" s="768"/>
      <c r="H53" s="768">
        <v>392.55500000000001</v>
      </c>
      <c r="I53" s="768"/>
      <c r="J53" s="768">
        <v>22.613250000000001</v>
      </c>
      <c r="K53" s="485">
        <v>1.34775</v>
      </c>
      <c r="L53" s="484"/>
      <c r="M53" s="484">
        <f t="shared" si="6"/>
        <v>4122.9857031250003</v>
      </c>
      <c r="N53" s="111"/>
      <c r="O53" s="111"/>
    </row>
    <row r="54" spans="1:15" hidden="1">
      <c r="A54" s="206">
        <v>41699</v>
      </c>
      <c r="B54" s="840">
        <v>1262.7909999999999</v>
      </c>
      <c r="C54" s="483">
        <v>64.602000000000004</v>
      </c>
      <c r="D54" s="768">
        <v>1.415</v>
      </c>
      <c r="E54" s="841">
        <v>2849.6030000000001</v>
      </c>
      <c r="F54" s="768"/>
      <c r="G54" s="768"/>
      <c r="H54" s="768">
        <v>450.197</v>
      </c>
      <c r="I54" s="768"/>
      <c r="J54" s="768">
        <v>25.427</v>
      </c>
      <c r="K54" s="485">
        <v>0</v>
      </c>
      <c r="L54" s="484"/>
      <c r="M54" s="484">
        <f t="shared" si="6"/>
        <v>4654.0349999999999</v>
      </c>
      <c r="N54" s="111"/>
      <c r="O54" s="111"/>
    </row>
    <row r="55" spans="1:15" hidden="1">
      <c r="A55" s="206">
        <v>41730</v>
      </c>
      <c r="B55" s="840">
        <v>987.5865</v>
      </c>
      <c r="C55" s="483">
        <v>156.55799999999999</v>
      </c>
      <c r="D55" s="768">
        <v>1.4339999999999999</v>
      </c>
      <c r="E55" s="841">
        <v>2727.9059999999999</v>
      </c>
      <c r="F55" s="768"/>
      <c r="G55" s="768"/>
      <c r="H55" s="768">
        <v>418.60500000000002</v>
      </c>
      <c r="I55" s="768"/>
      <c r="J55" s="768">
        <v>26.111000000000001</v>
      </c>
      <c r="K55" s="485">
        <v>0</v>
      </c>
      <c r="L55" s="484"/>
      <c r="M55" s="484">
        <f t="shared" si="6"/>
        <v>4318.2004999999999</v>
      </c>
      <c r="N55" s="111"/>
      <c r="O55" s="111"/>
    </row>
    <row r="56" spans="1:15" hidden="1">
      <c r="A56" s="206">
        <v>41760</v>
      </c>
      <c r="B56" s="840">
        <v>878.56600000000003</v>
      </c>
      <c r="C56" s="483">
        <v>382.34100000000001</v>
      </c>
      <c r="D56" s="768">
        <v>1.2969999999999999</v>
      </c>
      <c r="E56" s="841">
        <v>2585.665</v>
      </c>
      <c r="F56" s="768">
        <v>5.4180000000000001</v>
      </c>
      <c r="G56" s="768"/>
      <c r="H56" s="768">
        <v>396.39600000000002</v>
      </c>
      <c r="I56" s="768"/>
      <c r="J56" s="768">
        <v>26.218</v>
      </c>
      <c r="K56" s="485">
        <v>0</v>
      </c>
      <c r="L56" s="484"/>
      <c r="M56" s="484">
        <f t="shared" si="6"/>
        <v>4275.9009999999998</v>
      </c>
      <c r="N56" s="111"/>
      <c r="O56" s="111"/>
    </row>
    <row r="57" spans="1:15" hidden="1">
      <c r="A57" s="206">
        <v>41791</v>
      </c>
      <c r="B57" s="840">
        <v>736.22799999999995</v>
      </c>
      <c r="C57" s="483">
        <v>409.87700000000001</v>
      </c>
      <c r="D57" s="768">
        <v>1.3009999999999999</v>
      </c>
      <c r="E57" s="841">
        <v>2225.5479999999998</v>
      </c>
      <c r="F57" s="768">
        <v>141.80000000000001</v>
      </c>
      <c r="G57" s="768"/>
      <c r="H57" s="768">
        <v>352.10300000000001</v>
      </c>
      <c r="I57" s="768"/>
      <c r="J57" s="768">
        <v>17.645</v>
      </c>
      <c r="K57" s="485">
        <v>0</v>
      </c>
      <c r="L57" s="484">
        <v>5.7299999999999997E-2</v>
      </c>
      <c r="M57" s="484">
        <f t="shared" si="6"/>
        <v>3884.5592999999999</v>
      </c>
      <c r="N57" s="111"/>
      <c r="O57" s="111"/>
    </row>
    <row r="58" spans="1:15" hidden="1">
      <c r="A58" s="206">
        <v>41821</v>
      </c>
      <c r="B58" s="840">
        <v>641.68299999999999</v>
      </c>
      <c r="C58" s="483">
        <v>486.786</v>
      </c>
      <c r="D58" s="768">
        <v>1.353</v>
      </c>
      <c r="E58" s="841">
        <v>2155.41</v>
      </c>
      <c r="F58" s="768">
        <v>143.49120000000002</v>
      </c>
      <c r="G58" s="768"/>
      <c r="H58" s="768">
        <v>353.36399999999998</v>
      </c>
      <c r="I58" s="768"/>
      <c r="J58" s="768">
        <v>17.472000000000001</v>
      </c>
      <c r="K58" s="485">
        <v>0</v>
      </c>
      <c r="L58" s="484">
        <v>0.33352999999999999</v>
      </c>
      <c r="M58" s="484">
        <f t="shared" si="6"/>
        <v>3799.89273</v>
      </c>
      <c r="N58" s="111"/>
      <c r="O58" s="111"/>
    </row>
    <row r="59" spans="1:15" hidden="1">
      <c r="A59" s="206">
        <v>41852</v>
      </c>
      <c r="B59" s="840">
        <v>706.46</v>
      </c>
      <c r="C59" s="483">
        <v>312.22899999999998</v>
      </c>
      <c r="D59" s="768">
        <v>1.5209999999999999</v>
      </c>
      <c r="E59" s="841">
        <v>2026.3989999999999</v>
      </c>
      <c r="F59" s="768">
        <v>174.4477</v>
      </c>
      <c r="G59" s="768"/>
      <c r="H59" s="768">
        <v>330.04</v>
      </c>
      <c r="I59" s="768"/>
      <c r="J59" s="768">
        <v>18.419</v>
      </c>
      <c r="K59" s="485">
        <v>0</v>
      </c>
      <c r="L59" s="484">
        <v>0.26</v>
      </c>
      <c r="M59" s="484">
        <f t="shared" si="6"/>
        <v>3569.7757000000001</v>
      </c>
      <c r="N59" s="111"/>
      <c r="O59" s="111"/>
    </row>
    <row r="60" spans="1:15" hidden="1">
      <c r="A60" s="206">
        <v>41883</v>
      </c>
      <c r="B60" s="840">
        <v>488.77199999999999</v>
      </c>
      <c r="C60" s="483">
        <v>494.31099999999998</v>
      </c>
      <c r="D60" s="768">
        <v>1.5389999999999999</v>
      </c>
      <c r="E60" s="841">
        <v>1839.59</v>
      </c>
      <c r="F60" s="768">
        <v>172.96289999999999</v>
      </c>
      <c r="G60" s="768"/>
      <c r="H60" s="768">
        <v>299.68200000000002</v>
      </c>
      <c r="I60" s="768"/>
      <c r="J60" s="768">
        <v>11.7075</v>
      </c>
      <c r="K60" s="485">
        <v>3.9024999999999999</v>
      </c>
      <c r="L60" s="484">
        <v>0.55300000000000005</v>
      </c>
      <c r="M60" s="484">
        <f t="shared" si="6"/>
        <v>3313.0198999999998</v>
      </c>
      <c r="N60" s="111"/>
      <c r="O60" s="111"/>
    </row>
    <row r="61" spans="1:15" hidden="1">
      <c r="A61" s="206">
        <v>41913</v>
      </c>
      <c r="B61" s="840">
        <v>632.07399999999996</v>
      </c>
      <c r="C61" s="483">
        <v>425.37099999999998</v>
      </c>
      <c r="D61" s="768">
        <v>1.53</v>
      </c>
      <c r="E61" s="841">
        <v>1963.83</v>
      </c>
      <c r="F61" s="768">
        <v>181.62110000000001</v>
      </c>
      <c r="G61" s="768"/>
      <c r="H61" s="768">
        <v>325.447</v>
      </c>
      <c r="I61" s="768"/>
      <c r="J61" s="768">
        <v>8.7477499999999999</v>
      </c>
      <c r="K61" s="485">
        <v>4.9802499999999998</v>
      </c>
      <c r="L61" s="484">
        <v>0.58465000000000011</v>
      </c>
      <c r="M61" s="484">
        <f t="shared" si="6"/>
        <v>3544.1857499999996</v>
      </c>
      <c r="N61" s="111"/>
      <c r="O61" s="111"/>
    </row>
    <row r="62" spans="1:15" hidden="1">
      <c r="A62" s="206">
        <v>41944</v>
      </c>
      <c r="B62" s="840">
        <v>790.88800000000003</v>
      </c>
      <c r="C62" s="483">
        <v>331.738</v>
      </c>
      <c r="D62" s="768">
        <v>1.4179999999999999</v>
      </c>
      <c r="E62" s="841">
        <v>2038.01</v>
      </c>
      <c r="F62" s="768">
        <v>178.02797999999999</v>
      </c>
      <c r="G62" s="768"/>
      <c r="H62" s="768">
        <v>335.44200000000001</v>
      </c>
      <c r="I62" s="768"/>
      <c r="J62" s="768">
        <v>6.7177499999999997</v>
      </c>
      <c r="K62" s="485">
        <v>8.4822500000000005</v>
      </c>
      <c r="L62" s="484">
        <v>0.54200499999999996</v>
      </c>
      <c r="M62" s="484">
        <f t="shared" si="6"/>
        <v>3691.2659849999995</v>
      </c>
      <c r="N62" s="111"/>
      <c r="O62" s="111"/>
    </row>
    <row r="63" spans="1:15" hidden="1">
      <c r="A63" s="206">
        <v>41974</v>
      </c>
      <c r="B63" s="840">
        <v>942.47900000000004</v>
      </c>
      <c r="C63" s="483">
        <v>327.20699999999999</v>
      </c>
      <c r="D63" s="768">
        <v>1.444</v>
      </c>
      <c r="E63" s="841">
        <v>2272.4630000000002</v>
      </c>
      <c r="F63" s="768">
        <v>158.33670000000001</v>
      </c>
      <c r="G63" s="768">
        <v>82.962000000000003</v>
      </c>
      <c r="H63" s="768">
        <v>374.77499999999998</v>
      </c>
      <c r="I63" s="768"/>
      <c r="J63" s="768">
        <v>9.4819999999999993</v>
      </c>
      <c r="K63" s="485">
        <v>9.4819999999999993</v>
      </c>
      <c r="L63" s="484">
        <v>0.52821000000000007</v>
      </c>
      <c r="M63" s="484">
        <f t="shared" si="6"/>
        <v>4179.1589100000001</v>
      </c>
      <c r="N63" s="111"/>
      <c r="O63" s="111"/>
    </row>
    <row r="64" spans="1:15">
      <c r="A64" s="206" t="s">
        <v>661</v>
      </c>
      <c r="B64" s="840">
        <f t="shared" ref="B64:M64" si="7">SUM(B52:B63)</f>
        <v>9924.3334999999988</v>
      </c>
      <c r="C64" s="483">
        <f t="shared" si="7"/>
        <v>3864.3929374999998</v>
      </c>
      <c r="D64" s="768">
        <f t="shared" si="7"/>
        <v>17.249999999999996</v>
      </c>
      <c r="E64" s="841">
        <f t="shared" si="7"/>
        <v>27732.053999999996</v>
      </c>
      <c r="F64" s="768">
        <f t="shared" si="7"/>
        <v>1156.1055799999999</v>
      </c>
      <c r="G64" s="768">
        <f t="shared" si="7"/>
        <v>82.962000000000003</v>
      </c>
      <c r="H64" s="768">
        <f t="shared" si="7"/>
        <v>4411.835</v>
      </c>
      <c r="I64" s="768"/>
      <c r="J64" s="768">
        <f t="shared" si="7"/>
        <v>197.39475000000002</v>
      </c>
      <c r="K64" s="485">
        <f t="shared" si="7"/>
        <v>48.698250000000002</v>
      </c>
      <c r="L64" s="484">
        <f t="shared" si="7"/>
        <v>2.858695</v>
      </c>
      <c r="M64" s="484">
        <f t="shared" si="7"/>
        <v>47437.884712499988</v>
      </c>
      <c r="N64" s="111"/>
      <c r="O64" s="111"/>
    </row>
    <row r="65" spans="1:15" s="378" customFormat="1" hidden="1">
      <c r="A65" s="206">
        <v>42005</v>
      </c>
      <c r="B65" s="840">
        <v>1033.8820000000001</v>
      </c>
      <c r="C65" s="483">
        <v>246.34700000000001</v>
      </c>
      <c r="D65" s="768">
        <v>1.28</v>
      </c>
      <c r="E65" s="841">
        <v>2336.3180000000002</v>
      </c>
      <c r="F65" s="768">
        <v>203.40789999999998</v>
      </c>
      <c r="G65" s="768">
        <v>111.56410000000001</v>
      </c>
      <c r="H65" s="768">
        <v>399.31799999999998</v>
      </c>
      <c r="I65" s="768"/>
      <c r="J65" s="768">
        <v>9.6549999999999994</v>
      </c>
      <c r="K65" s="485">
        <v>9.6549999999999994</v>
      </c>
      <c r="L65" s="484">
        <v>0.51756999999999997</v>
      </c>
      <c r="M65" s="484">
        <f t="shared" ref="M65:M110" si="8">SUM(B65:L65)</f>
        <v>4351.9445699999997</v>
      </c>
      <c r="N65" s="265"/>
      <c r="O65" s="265"/>
    </row>
    <row r="66" spans="1:15" hidden="1">
      <c r="A66" s="206">
        <v>42036</v>
      </c>
      <c r="B66" s="840">
        <v>1141.8121000000001</v>
      </c>
      <c r="C66" s="483">
        <v>143.36000000000001</v>
      </c>
      <c r="D66" s="768">
        <v>1.4390000000000001</v>
      </c>
      <c r="E66" s="841">
        <v>2314.8609999999999</v>
      </c>
      <c r="F66" s="768">
        <v>198.2456</v>
      </c>
      <c r="G66" s="768">
        <v>158.33655000000002</v>
      </c>
      <c r="H66" s="768">
        <v>387.43400000000003</v>
      </c>
      <c r="I66" s="768"/>
      <c r="J66" s="768">
        <v>11.058</v>
      </c>
      <c r="K66" s="485">
        <v>6.7590000000000003</v>
      </c>
      <c r="L66" s="484">
        <v>1.137</v>
      </c>
      <c r="M66" s="484">
        <f t="shared" si="8"/>
        <v>4364.4422500000001</v>
      </c>
      <c r="N66" s="111"/>
      <c r="O66" s="265"/>
    </row>
    <row r="67" spans="1:15" hidden="1">
      <c r="A67" s="206">
        <v>42064</v>
      </c>
      <c r="B67" s="840">
        <v>1381.384</v>
      </c>
      <c r="C67" s="483">
        <v>73.704999999999998</v>
      </c>
      <c r="D67" s="768">
        <v>1.274</v>
      </c>
      <c r="E67" s="841">
        <v>2743.2249999999999</v>
      </c>
      <c r="F67" s="768">
        <v>234.19739999999999</v>
      </c>
      <c r="G67" s="768">
        <v>94.88897</v>
      </c>
      <c r="H67" s="768">
        <v>448.94400000000002</v>
      </c>
      <c r="I67" s="768"/>
      <c r="J67" s="768">
        <v>14.135549999999999</v>
      </c>
      <c r="K67" s="485">
        <v>5.969450000000001</v>
      </c>
      <c r="L67" s="484">
        <v>1.5184200000000001</v>
      </c>
      <c r="M67" s="484">
        <f t="shared" si="8"/>
        <v>4999.24179</v>
      </c>
      <c r="N67" s="111"/>
      <c r="O67" s="265"/>
    </row>
    <row r="68" spans="1:15" hidden="1">
      <c r="A68" s="206">
        <v>42095</v>
      </c>
      <c r="B68" s="840">
        <v>1327.885</v>
      </c>
      <c r="C68" s="483">
        <v>75.126999999999995</v>
      </c>
      <c r="D68" s="768">
        <v>1.4330000000000001</v>
      </c>
      <c r="E68" s="841">
        <v>2650.7530000000002</v>
      </c>
      <c r="F68" s="768">
        <v>212.17599999999999</v>
      </c>
      <c r="G68" s="768">
        <v>95.174770999999993</v>
      </c>
      <c r="H68" s="768">
        <v>441.11500000000001</v>
      </c>
      <c r="I68" s="768"/>
      <c r="J68" s="768">
        <v>14.023099999999998</v>
      </c>
      <c r="K68" s="485">
        <v>6.0099000000000009</v>
      </c>
      <c r="L68" s="484">
        <v>1.2230000000000001</v>
      </c>
      <c r="M68" s="484">
        <f t="shared" si="8"/>
        <v>4824.9197710000008</v>
      </c>
      <c r="N68" s="111"/>
      <c r="O68" s="265"/>
    </row>
    <row r="69" spans="1:15" hidden="1">
      <c r="A69" s="206">
        <v>42125</v>
      </c>
      <c r="B69" s="840">
        <v>1395.521</v>
      </c>
      <c r="C69" s="483">
        <v>91.13</v>
      </c>
      <c r="D69" s="768">
        <v>1.0880000000000001</v>
      </c>
      <c r="E69" s="841">
        <v>2704.473</v>
      </c>
      <c r="F69" s="768">
        <v>153.01259999999999</v>
      </c>
      <c r="G69" s="768">
        <v>0</v>
      </c>
      <c r="H69" s="768">
        <v>422.899</v>
      </c>
      <c r="I69" s="768"/>
      <c r="J69" s="768">
        <v>14.595699999999999</v>
      </c>
      <c r="K69" s="485">
        <v>6.255300000000001</v>
      </c>
      <c r="L69" s="484">
        <v>1.1714</v>
      </c>
      <c r="M69" s="484">
        <f t="shared" si="8"/>
        <v>4790.1459999999997</v>
      </c>
      <c r="N69" s="111"/>
      <c r="O69" s="265"/>
    </row>
    <row r="70" spans="1:15" hidden="1">
      <c r="A70" s="206">
        <v>42156</v>
      </c>
      <c r="B70" s="840">
        <v>1143.5029999999999</v>
      </c>
      <c r="C70" s="483">
        <v>294.43900000000002</v>
      </c>
      <c r="D70" s="768">
        <v>1.3280000000000001</v>
      </c>
      <c r="E70" s="841">
        <v>2663.6390000000001</v>
      </c>
      <c r="F70" s="768">
        <v>151.3963</v>
      </c>
      <c r="G70" s="768">
        <v>17.714569999999998</v>
      </c>
      <c r="H70" s="768">
        <v>413.947</v>
      </c>
      <c r="I70" s="768"/>
      <c r="J70" s="768">
        <v>13.781599999999999</v>
      </c>
      <c r="K70" s="485">
        <v>5.9063999999999997</v>
      </c>
      <c r="L70" s="484">
        <v>1.2681100000000001</v>
      </c>
      <c r="M70" s="484">
        <f t="shared" si="8"/>
        <v>4706.9229800000003</v>
      </c>
      <c r="N70" s="111"/>
      <c r="O70" s="265"/>
    </row>
    <row r="71" spans="1:15" hidden="1">
      <c r="A71" s="206">
        <v>42186</v>
      </c>
      <c r="B71" s="840">
        <v>927.31</v>
      </c>
      <c r="C71" s="483">
        <v>441.24900000000002</v>
      </c>
      <c r="D71" s="768">
        <v>1.363</v>
      </c>
      <c r="E71" s="841">
        <v>2239.0419999999999</v>
      </c>
      <c r="F71" s="768">
        <v>141.45820000000001</v>
      </c>
      <c r="G71" s="768">
        <v>445.44900000000001</v>
      </c>
      <c r="H71" s="768">
        <v>411.91</v>
      </c>
      <c r="I71" s="768"/>
      <c r="J71" s="768">
        <v>19.001999999999999</v>
      </c>
      <c r="K71" s="485">
        <v>0</v>
      </c>
      <c r="L71" s="484">
        <v>1.3178800000000002</v>
      </c>
      <c r="M71" s="484">
        <f t="shared" si="8"/>
        <v>4628.1010799999995</v>
      </c>
      <c r="N71" s="111"/>
      <c r="O71" s="265"/>
    </row>
    <row r="72" spans="1:15" hidden="1">
      <c r="A72" s="206">
        <v>42217</v>
      </c>
      <c r="B72" s="840">
        <v>646.71</v>
      </c>
      <c r="C72" s="483">
        <v>522.84900000000005</v>
      </c>
      <c r="D72" s="768">
        <v>1.2050000000000001</v>
      </c>
      <c r="E72" s="841">
        <v>1888.2550000000001</v>
      </c>
      <c r="F72" s="768">
        <v>162.8537</v>
      </c>
      <c r="G72" s="768">
        <v>432.76165000000003</v>
      </c>
      <c r="H72" s="768">
        <v>355.72</v>
      </c>
      <c r="I72" s="768"/>
      <c r="J72" s="768">
        <v>17.495000000000001</v>
      </c>
      <c r="K72" s="485">
        <v>0</v>
      </c>
      <c r="L72" s="484">
        <v>1.20638</v>
      </c>
      <c r="M72" s="484">
        <f t="shared" si="8"/>
        <v>4029.0557300000005</v>
      </c>
      <c r="N72" s="111"/>
      <c r="O72" s="265"/>
    </row>
    <row r="73" spans="1:15" hidden="1">
      <c r="A73" s="206">
        <v>42248</v>
      </c>
      <c r="B73" s="840">
        <v>742.24800000000016</v>
      </c>
      <c r="C73" s="483">
        <v>389.46899999999999</v>
      </c>
      <c r="D73" s="768">
        <v>1.4690000000000001</v>
      </c>
      <c r="E73" s="841">
        <v>1833.4590000000001</v>
      </c>
      <c r="F73" s="768">
        <v>150.6576</v>
      </c>
      <c r="G73" s="768">
        <v>359.59921264648438</v>
      </c>
      <c r="H73" s="768">
        <v>337.98</v>
      </c>
      <c r="I73" s="768"/>
      <c r="J73" s="768">
        <v>16.695</v>
      </c>
      <c r="K73" s="485">
        <v>0</v>
      </c>
      <c r="L73" s="484">
        <v>1.1057600000000001</v>
      </c>
      <c r="M73" s="484">
        <f t="shared" si="8"/>
        <v>3832.6825726464849</v>
      </c>
      <c r="N73" s="111"/>
      <c r="O73" s="265"/>
    </row>
    <row r="74" spans="1:15" hidden="1">
      <c r="A74" s="206">
        <v>42278</v>
      </c>
      <c r="B74" s="840">
        <v>737.572</v>
      </c>
      <c r="C74" s="483">
        <v>484.197</v>
      </c>
      <c r="D74" s="768">
        <v>1.359</v>
      </c>
      <c r="E74" s="841">
        <v>2023.347</v>
      </c>
      <c r="F74" s="768">
        <v>151.102</v>
      </c>
      <c r="G74" s="768">
        <v>352.44574999999998</v>
      </c>
      <c r="H74" s="768">
        <v>373.6</v>
      </c>
      <c r="I74" s="768"/>
      <c r="J74" s="768">
        <v>14.252000000000001</v>
      </c>
      <c r="K74" s="485">
        <v>3.1259999999999999</v>
      </c>
      <c r="L74" s="484">
        <v>1.1635900000000001</v>
      </c>
      <c r="M74" s="484">
        <f t="shared" si="8"/>
        <v>4142.1643400000003</v>
      </c>
      <c r="N74" s="111"/>
      <c r="O74" s="265"/>
    </row>
    <row r="75" spans="1:15" hidden="1">
      <c r="A75" s="206">
        <v>42309</v>
      </c>
      <c r="B75" s="840">
        <v>853.822</v>
      </c>
      <c r="C75" s="483">
        <v>381.67200000000003</v>
      </c>
      <c r="D75" s="768">
        <v>1.2889999999999999</v>
      </c>
      <c r="E75" s="841">
        <v>2048.2640000000001</v>
      </c>
      <c r="F75" s="768">
        <v>125.733</v>
      </c>
      <c r="G75" s="768">
        <v>440.18524169921875</v>
      </c>
      <c r="H75" s="768">
        <v>415.56200000000001</v>
      </c>
      <c r="I75" s="768"/>
      <c r="J75" s="768">
        <v>10.840999999999999</v>
      </c>
      <c r="K75" s="485">
        <v>7.2770000000000001</v>
      </c>
      <c r="L75" s="484">
        <v>1.18367</v>
      </c>
      <c r="M75" s="484">
        <f t="shared" si="8"/>
        <v>4285.82891169922</v>
      </c>
      <c r="N75" s="111"/>
      <c r="O75" s="265"/>
    </row>
    <row r="76" spans="1:15" hidden="1">
      <c r="A76" s="206">
        <v>42339</v>
      </c>
      <c r="B76" s="840">
        <v>1123.212</v>
      </c>
      <c r="C76" s="483">
        <v>252.821</v>
      </c>
      <c r="D76" s="768">
        <v>1.3420000000000001</v>
      </c>
      <c r="E76" s="841">
        <v>2446.9070000000002</v>
      </c>
      <c r="F76" s="768">
        <v>126.252</v>
      </c>
      <c r="G76" s="768">
        <v>439.04364013671852</v>
      </c>
      <c r="H76" s="768">
        <v>476.85</v>
      </c>
      <c r="I76" s="768"/>
      <c r="J76" s="768">
        <v>11.932499999999999</v>
      </c>
      <c r="K76" s="485">
        <v>8.3804999999999996</v>
      </c>
      <c r="L76" s="484">
        <v>1.3551799999999998</v>
      </c>
      <c r="M76" s="484">
        <f t="shared" si="8"/>
        <v>4888.0958201367184</v>
      </c>
      <c r="N76" s="111"/>
      <c r="O76" s="265"/>
    </row>
    <row r="77" spans="1:15">
      <c r="A77" s="206" t="s">
        <v>662</v>
      </c>
      <c r="B77" s="840">
        <f t="shared" ref="B77:L77" si="9">SUM(B65:B76)</f>
        <v>12454.861099999998</v>
      </c>
      <c r="C77" s="483">
        <f t="shared" si="9"/>
        <v>3396.3650000000002</v>
      </c>
      <c r="D77" s="768">
        <f t="shared" si="9"/>
        <v>15.869</v>
      </c>
      <c r="E77" s="841">
        <f t="shared" si="9"/>
        <v>27892.543000000001</v>
      </c>
      <c r="F77" s="768">
        <f t="shared" si="9"/>
        <v>2010.4923000000003</v>
      </c>
      <c r="G77" s="768">
        <f t="shared" si="9"/>
        <v>2947.1634554824213</v>
      </c>
      <c r="H77" s="768">
        <f t="shared" si="9"/>
        <v>4885.2790000000005</v>
      </c>
      <c r="I77" s="768"/>
      <c r="J77" s="768">
        <f t="shared" si="9"/>
        <v>167.46645000000004</v>
      </c>
      <c r="K77" s="485">
        <f t="shared" si="9"/>
        <v>59.338549999999998</v>
      </c>
      <c r="L77" s="484">
        <f t="shared" si="9"/>
        <v>14.167960000000001</v>
      </c>
      <c r="M77" s="484">
        <f t="shared" si="8"/>
        <v>53843.545815482415</v>
      </c>
      <c r="N77" s="111"/>
      <c r="O77" s="265"/>
    </row>
    <row r="78" spans="1:15" hidden="1">
      <c r="A78" s="206">
        <v>42370</v>
      </c>
      <c r="B78" s="840">
        <v>1261.0070000000001</v>
      </c>
      <c r="C78" s="483">
        <v>143.91499999999999</v>
      </c>
      <c r="D78" s="768">
        <v>1.476</v>
      </c>
      <c r="E78" s="841">
        <v>2595.038</v>
      </c>
      <c r="F78" s="768">
        <v>161.97800000000001</v>
      </c>
      <c r="G78" s="768">
        <v>365.93990000000002</v>
      </c>
      <c r="H78" s="768">
        <v>482.06</v>
      </c>
      <c r="I78" s="768"/>
      <c r="J78" s="768">
        <v>15.961499999999999</v>
      </c>
      <c r="K78" s="485">
        <v>5.7134999999999998</v>
      </c>
      <c r="L78" s="484">
        <v>1.56549</v>
      </c>
      <c r="M78" s="484">
        <f t="shared" si="8"/>
        <v>5034.6543900000006</v>
      </c>
      <c r="N78"/>
      <c r="O78"/>
    </row>
    <row r="79" spans="1:15" hidden="1">
      <c r="A79" s="206">
        <v>42401</v>
      </c>
      <c r="B79" s="840">
        <v>1155.56</v>
      </c>
      <c r="C79" s="483">
        <v>28.443999999999999</v>
      </c>
      <c r="D79" s="768">
        <v>1.3009999999999999</v>
      </c>
      <c r="E79" s="841">
        <v>2785.4949999999999</v>
      </c>
      <c r="F79" s="768">
        <v>181.99199999999999</v>
      </c>
      <c r="G79" s="768">
        <v>198.58435058593699</v>
      </c>
      <c r="H79" s="768">
        <v>487.55</v>
      </c>
      <c r="I79" s="768"/>
      <c r="J79" s="768">
        <v>13.061500000000001</v>
      </c>
      <c r="K79" s="485">
        <v>6.4035000000000002</v>
      </c>
      <c r="L79" s="484">
        <v>1.6619999999999999</v>
      </c>
      <c r="M79" s="484">
        <f t="shared" si="8"/>
        <v>4860.0533505859366</v>
      </c>
      <c r="N79"/>
      <c r="O79"/>
    </row>
    <row r="80" spans="1:15" hidden="1">
      <c r="A80" s="206">
        <v>42430</v>
      </c>
      <c r="B80" s="840">
        <v>1476.498</v>
      </c>
      <c r="C80" s="483">
        <v>29.53416</v>
      </c>
      <c r="D80" s="768">
        <v>1.268</v>
      </c>
      <c r="E80" s="841">
        <v>3129.04</v>
      </c>
      <c r="F80" s="768">
        <v>199.846</v>
      </c>
      <c r="G80" s="768">
        <v>67.99658203125</v>
      </c>
      <c r="H80" s="768">
        <v>547.60500000000002</v>
      </c>
      <c r="I80" s="768"/>
      <c r="J80" s="768">
        <v>13.35</v>
      </c>
      <c r="K80" s="485">
        <v>7.2619999999999996</v>
      </c>
      <c r="L80" s="484">
        <v>1.41673</v>
      </c>
      <c r="M80" s="484">
        <f t="shared" si="8"/>
        <v>5473.8164720312488</v>
      </c>
      <c r="N80"/>
      <c r="O80"/>
    </row>
    <row r="81" spans="1:41" hidden="1">
      <c r="A81" s="206">
        <v>42461</v>
      </c>
      <c r="B81" s="840">
        <v>1313.4390000000001</v>
      </c>
      <c r="C81" s="483">
        <v>104.72</v>
      </c>
      <c r="D81" s="768">
        <v>1.4</v>
      </c>
      <c r="E81" s="841">
        <v>2696.8649999999998</v>
      </c>
      <c r="F81" s="768">
        <v>187.28299999999999</v>
      </c>
      <c r="G81" s="768">
        <v>172.1220703125</v>
      </c>
      <c r="H81" s="768">
        <v>475.24799999999999</v>
      </c>
      <c r="I81" s="768"/>
      <c r="J81" s="768">
        <v>16.3035</v>
      </c>
      <c r="K81" s="485">
        <v>4.2445000000000004</v>
      </c>
      <c r="L81" s="484">
        <v>2.0453190000000001</v>
      </c>
      <c r="M81" s="484">
        <f t="shared" si="8"/>
        <v>4973.6703893124995</v>
      </c>
      <c r="N81"/>
      <c r="O81"/>
    </row>
    <row r="82" spans="1:41" hidden="1">
      <c r="A82" s="206">
        <v>42491</v>
      </c>
      <c r="B82" s="840">
        <v>1244.249</v>
      </c>
      <c r="C82" s="483">
        <v>101.251</v>
      </c>
      <c r="D82" s="768">
        <v>1.256</v>
      </c>
      <c r="E82" s="841">
        <v>2445.7719999999999</v>
      </c>
      <c r="F82" s="768">
        <v>159.274</v>
      </c>
      <c r="G82" s="768">
        <v>335.5067138671875</v>
      </c>
      <c r="H82" s="768">
        <v>447.03699999999998</v>
      </c>
      <c r="I82" s="768"/>
      <c r="J82" s="768">
        <v>20.065999999999999</v>
      </c>
      <c r="K82" s="485">
        <v>0</v>
      </c>
      <c r="L82" s="484">
        <v>2.2814800000000002</v>
      </c>
      <c r="M82" s="484">
        <f t="shared" si="8"/>
        <v>4756.6931938671869</v>
      </c>
      <c r="N82"/>
      <c r="O82"/>
    </row>
    <row r="83" spans="1:41" hidden="1">
      <c r="A83" s="206">
        <v>42522</v>
      </c>
      <c r="B83" s="840">
        <v>969.14299999999992</v>
      </c>
      <c r="C83" s="483">
        <v>196.02799999999999</v>
      </c>
      <c r="D83" s="768">
        <v>1.254</v>
      </c>
      <c r="E83" s="841">
        <v>2063.6189999999997</v>
      </c>
      <c r="F83" s="768">
        <v>144.24799999999999</v>
      </c>
      <c r="G83" s="768">
        <v>400.01770019531205</v>
      </c>
      <c r="H83" s="768">
        <v>388.34999999999997</v>
      </c>
      <c r="I83" s="768"/>
      <c r="J83" s="768">
        <v>18.429999999999996</v>
      </c>
      <c r="K83" s="485">
        <v>0</v>
      </c>
      <c r="L83" s="484">
        <v>1.74092</v>
      </c>
      <c r="M83" s="484">
        <f t="shared" si="8"/>
        <v>4182.8306201953119</v>
      </c>
      <c r="N83" s="111">
        <f>+SUM(M78:M83)</f>
        <v>29281.718415992189</v>
      </c>
      <c r="O83"/>
    </row>
    <row r="84" spans="1:41" hidden="1">
      <c r="A84" s="206">
        <v>42552</v>
      </c>
      <c r="B84" s="840">
        <v>879.28833900000006</v>
      </c>
      <c r="C84" s="483">
        <v>238.99199999999999</v>
      </c>
      <c r="D84" s="768">
        <v>0.73299999999999998</v>
      </c>
      <c r="E84" s="841">
        <v>1910.81969</v>
      </c>
      <c r="F84" s="768">
        <v>135.72999999999999</v>
      </c>
      <c r="G84" s="768">
        <v>437.06396484375</v>
      </c>
      <c r="H84" s="768">
        <v>369.48</v>
      </c>
      <c r="I84" s="768"/>
      <c r="J84" s="768">
        <v>19.465</v>
      </c>
      <c r="K84" s="485">
        <v>0</v>
      </c>
      <c r="L84" s="484">
        <v>1.7829999999999999</v>
      </c>
      <c r="M84" s="484">
        <f t="shared" si="8"/>
        <v>3993.3549938437504</v>
      </c>
      <c r="N84"/>
      <c r="O84"/>
    </row>
    <row r="85" spans="1:41" hidden="1">
      <c r="A85" s="206">
        <v>42583</v>
      </c>
      <c r="B85" s="840">
        <v>875.77336700000012</v>
      </c>
      <c r="C85" s="483">
        <v>211.261</v>
      </c>
      <c r="D85" s="768">
        <v>1.2050000000000001</v>
      </c>
      <c r="E85" s="841">
        <v>1694.7781299999997</v>
      </c>
      <c r="F85" s="768">
        <v>156.48099999999999</v>
      </c>
      <c r="G85" s="768">
        <v>511.2203369140625</v>
      </c>
      <c r="H85" s="768">
        <v>364.77942000000002</v>
      </c>
      <c r="I85" s="768"/>
      <c r="J85" s="768">
        <v>18.795999999999999</v>
      </c>
      <c r="K85" s="485">
        <v>0</v>
      </c>
      <c r="L85" s="484">
        <v>2.1459999999999999</v>
      </c>
      <c r="M85" s="484">
        <f t="shared" si="8"/>
        <v>3836.4402539140619</v>
      </c>
      <c r="N85"/>
      <c r="O85"/>
    </row>
    <row r="86" spans="1:41" hidden="1">
      <c r="A86" s="206">
        <v>42614</v>
      </c>
      <c r="B86" s="840">
        <v>994.68394699999999</v>
      </c>
      <c r="C86" s="483">
        <v>40.042999999999999</v>
      </c>
      <c r="D86" s="768">
        <v>1.4730000000000001</v>
      </c>
      <c r="E86" s="841">
        <v>1688.3542419999997</v>
      </c>
      <c r="F86" s="768">
        <v>171.28100000000001</v>
      </c>
      <c r="G86" s="768">
        <v>477.237548828125</v>
      </c>
      <c r="H86" s="768">
        <v>348.79266099999995</v>
      </c>
      <c r="I86" s="768"/>
      <c r="J86" s="768">
        <v>17.920999999999999</v>
      </c>
      <c r="K86" s="485">
        <v>0</v>
      </c>
      <c r="L86" s="484">
        <v>1.9339999999999999</v>
      </c>
      <c r="M86" s="484">
        <f t="shared" si="8"/>
        <v>3741.7203988281244</v>
      </c>
      <c r="N86"/>
      <c r="O86"/>
    </row>
    <row r="87" spans="1:41" hidden="1">
      <c r="A87" s="206">
        <v>42644</v>
      </c>
      <c r="B87" s="840">
        <v>989.51350999999988</v>
      </c>
      <c r="C87" s="483">
        <v>75.542000000000002</v>
      </c>
      <c r="D87" s="768">
        <v>1.3320000000000001</v>
      </c>
      <c r="E87" s="841">
        <v>1685.1669509999999</v>
      </c>
      <c r="F87" s="768">
        <v>219.53899999999999</v>
      </c>
      <c r="G87" s="768">
        <v>526.06700000000001</v>
      </c>
      <c r="H87" s="768">
        <v>342.93370799999997</v>
      </c>
      <c r="I87" s="768"/>
      <c r="J87" s="768">
        <v>17.338600999999997</v>
      </c>
      <c r="K87" s="485">
        <v>0</v>
      </c>
      <c r="L87" s="484">
        <v>2.2690000000000001</v>
      </c>
      <c r="M87" s="484">
        <f t="shared" si="8"/>
        <v>3859.7017699999992</v>
      </c>
      <c r="N87"/>
      <c r="O87"/>
    </row>
    <row r="88" spans="1:41" hidden="1">
      <c r="A88" s="206">
        <v>42675</v>
      </c>
      <c r="B88" s="840">
        <v>1057.8559459999997</v>
      </c>
      <c r="C88" s="483">
        <v>17.664000000000001</v>
      </c>
      <c r="D88" s="768">
        <v>1.3280000000000001</v>
      </c>
      <c r="E88" s="841">
        <v>1665.0741839999994</v>
      </c>
      <c r="F88" s="768">
        <v>216.95699999999999</v>
      </c>
      <c r="G88" s="768">
        <v>531.84375</v>
      </c>
      <c r="H88" s="768">
        <v>341.86888099999999</v>
      </c>
      <c r="I88" s="768"/>
      <c r="J88" s="768">
        <v>17.455166000000002</v>
      </c>
      <c r="K88" s="485">
        <v>0</v>
      </c>
      <c r="L88" s="484">
        <v>2.319</v>
      </c>
      <c r="M88" s="484">
        <f t="shared" si="8"/>
        <v>3852.3659269999989</v>
      </c>
      <c r="N88" s="111"/>
      <c r="O88" s="265"/>
    </row>
    <row r="89" spans="1:41" hidden="1">
      <c r="A89" s="206">
        <v>42705</v>
      </c>
      <c r="B89" s="840">
        <v>1228.15807</v>
      </c>
      <c r="C89" s="483">
        <v>0</v>
      </c>
      <c r="D89" s="768">
        <v>1.431</v>
      </c>
      <c r="E89" s="841">
        <v>2057.9570239999998</v>
      </c>
      <c r="F89" s="768">
        <v>209.489</v>
      </c>
      <c r="G89" s="768">
        <v>510.92197218749999</v>
      </c>
      <c r="H89" s="768">
        <v>399.35574999999989</v>
      </c>
      <c r="I89" s="768"/>
      <c r="J89" s="768">
        <v>19.412783000000001</v>
      </c>
      <c r="K89" s="485">
        <v>0</v>
      </c>
      <c r="L89" s="484">
        <v>1.9370000000000001</v>
      </c>
      <c r="M89" s="484">
        <f t="shared" si="8"/>
        <v>4428.6625991874998</v>
      </c>
      <c r="N89" s="111"/>
      <c r="O89" s="815"/>
    </row>
    <row r="90" spans="1:41" ht="13.5" thickBot="1">
      <c r="A90" s="1283" t="s">
        <v>663</v>
      </c>
      <c r="B90" s="1293">
        <f t="shared" ref="B90:L90" si="10">SUM(B78:B89)</f>
        <v>13445.169178999999</v>
      </c>
      <c r="C90" s="1294">
        <f t="shared" si="10"/>
        <v>1187.3941599999998</v>
      </c>
      <c r="D90" s="1295">
        <f t="shared" si="10"/>
        <v>15.457000000000001</v>
      </c>
      <c r="E90" s="1296">
        <f t="shared" si="10"/>
        <v>26417.979220999998</v>
      </c>
      <c r="F90" s="1295">
        <f t="shared" si="10"/>
        <v>2144.098</v>
      </c>
      <c r="G90" s="1295">
        <f t="shared" si="10"/>
        <v>4534.5218897656241</v>
      </c>
      <c r="H90" s="1295">
        <f t="shared" si="10"/>
        <v>4995.0604199999998</v>
      </c>
      <c r="I90" s="1295"/>
      <c r="J90" s="1295">
        <f t="shared" si="10"/>
        <v>207.56104999999994</v>
      </c>
      <c r="K90" s="1295">
        <f t="shared" si="10"/>
        <v>23.6235</v>
      </c>
      <c r="L90" s="1295">
        <f t="shared" si="10"/>
        <v>23.099938999999999</v>
      </c>
      <c r="M90" s="1295">
        <f t="shared" si="8"/>
        <v>52993.964358765617</v>
      </c>
      <c r="N90" s="111"/>
      <c r="O90" s="815"/>
    </row>
    <row r="91" spans="1:41" ht="15" hidden="1">
      <c r="A91" s="277">
        <v>42736</v>
      </c>
      <c r="B91" s="1304">
        <v>1340.848405</v>
      </c>
      <c r="C91" s="937">
        <v>28.948560000000001</v>
      </c>
      <c r="D91" s="937">
        <v>1.21</v>
      </c>
      <c r="E91" s="937">
        <v>2767.395528</v>
      </c>
      <c r="F91" s="937">
        <v>219.779</v>
      </c>
      <c r="G91" s="937">
        <v>141.428955078125</v>
      </c>
      <c r="H91" s="937">
        <v>463.59052599999995</v>
      </c>
      <c r="I91" s="937"/>
      <c r="J91" s="937">
        <v>19.208224999999999</v>
      </c>
      <c r="K91" s="275">
        <v>0</v>
      </c>
      <c r="L91" s="939">
        <v>1.784</v>
      </c>
      <c r="M91" s="1300">
        <f t="shared" si="8"/>
        <v>4984.193199078125</v>
      </c>
      <c r="N91" s="111"/>
      <c r="O91" s="842"/>
      <c r="AN91" s="644"/>
      <c r="AO91" s="644"/>
    </row>
    <row r="92" spans="1:41" ht="15" hidden="1">
      <c r="A92" s="206">
        <v>42767</v>
      </c>
      <c r="B92" s="1108">
        <v>1353.614415</v>
      </c>
      <c r="C92" s="768">
        <v>5.4316317857142904</v>
      </c>
      <c r="D92" s="768">
        <v>1.213428571428572</v>
      </c>
      <c r="E92" s="768">
        <v>2866.3043140000009</v>
      </c>
      <c r="F92" s="768">
        <v>261.54039285714282</v>
      </c>
      <c r="G92" s="768">
        <v>65.561723981584905</v>
      </c>
      <c r="H92" s="768">
        <v>487.28092900000013</v>
      </c>
      <c r="I92" s="768"/>
      <c r="J92" s="768">
        <v>19.321899000000002</v>
      </c>
      <c r="K92" s="484">
        <v>0</v>
      </c>
      <c r="L92" s="485">
        <v>2.47112</v>
      </c>
      <c r="M92" s="1126">
        <f t="shared" si="8"/>
        <v>5062.7398541958719</v>
      </c>
      <c r="N92" s="111"/>
      <c r="O92" s="835"/>
      <c r="AN92" s="644"/>
    </row>
    <row r="93" spans="1:41" ht="15" hidden="1">
      <c r="A93" s="206">
        <v>42795</v>
      </c>
      <c r="B93" s="1108">
        <v>1452.732342</v>
      </c>
      <c r="C93" s="768">
        <v>52.237368214285702</v>
      </c>
      <c r="D93" s="768">
        <v>1.1895714285714287</v>
      </c>
      <c r="E93" s="768">
        <v>3213.5726199999999</v>
      </c>
      <c r="F93" s="768">
        <v>212.76310714285717</v>
      </c>
      <c r="G93" s="768">
        <v>35.278852190290173</v>
      </c>
      <c r="H93" s="768">
        <v>546.94759499999998</v>
      </c>
      <c r="I93" s="768"/>
      <c r="J93" s="768">
        <v>21.933722000000003</v>
      </c>
      <c r="K93" s="484">
        <v>0</v>
      </c>
      <c r="L93" s="485">
        <v>2.3824399999999999</v>
      </c>
      <c r="M93" s="1126">
        <f t="shared" si="8"/>
        <v>5539.0376179760042</v>
      </c>
      <c r="N93" s="111"/>
      <c r="O93" s="835"/>
      <c r="AN93" s="644"/>
    </row>
    <row r="94" spans="1:41" ht="15" hidden="1">
      <c r="A94" s="206">
        <v>42826</v>
      </c>
      <c r="B94" s="1108">
        <v>1454.3651669999999</v>
      </c>
      <c r="C94" s="768">
        <v>16.227989999999998</v>
      </c>
      <c r="D94" s="768">
        <v>1.375</v>
      </c>
      <c r="E94" s="768">
        <v>3016.5974589999996</v>
      </c>
      <c r="F94" s="768">
        <v>262.02460000000002</v>
      </c>
      <c r="G94" s="768">
        <v>172.27353000000002</v>
      </c>
      <c r="H94" s="768">
        <v>537.11917499999993</v>
      </c>
      <c r="I94" s="768"/>
      <c r="J94" s="768">
        <v>20.977177000000001</v>
      </c>
      <c r="K94" s="484">
        <v>0</v>
      </c>
      <c r="L94" s="485">
        <v>2.1640299999999999</v>
      </c>
      <c r="M94" s="1126">
        <f t="shared" si="8"/>
        <v>5483.1241279999995</v>
      </c>
      <c r="N94" s="111"/>
      <c r="O94" s="835"/>
      <c r="AN94" s="644"/>
    </row>
    <row r="95" spans="1:41" ht="15" hidden="1">
      <c r="A95" s="206">
        <v>42856</v>
      </c>
      <c r="B95" s="1108">
        <v>1193.8976210000001</v>
      </c>
      <c r="C95" s="768">
        <v>247.92945</v>
      </c>
      <c r="D95" s="768">
        <v>1.121</v>
      </c>
      <c r="E95" s="768">
        <v>2620.17677</v>
      </c>
      <c r="F95" s="768">
        <v>221.37260000000001</v>
      </c>
      <c r="G95" s="768">
        <v>438.14951125000005</v>
      </c>
      <c r="H95" s="768">
        <v>496.00701200000003</v>
      </c>
      <c r="I95" s="768"/>
      <c r="J95" s="768">
        <v>20.417306</v>
      </c>
      <c r="K95" s="484">
        <v>0</v>
      </c>
      <c r="L95" s="485">
        <v>2.1074499999999996</v>
      </c>
      <c r="M95" s="1126">
        <f t="shared" si="8"/>
        <v>5241.1787202500009</v>
      </c>
      <c r="N95" s="111"/>
      <c r="O95" s="835"/>
      <c r="AN95" s="644"/>
    </row>
    <row r="96" spans="1:41" ht="15" hidden="1">
      <c r="A96" s="206">
        <v>42887</v>
      </c>
      <c r="B96" s="1108">
        <v>1018.0887120000002</v>
      </c>
      <c r="C96" s="768">
        <v>206.86087499999999</v>
      </c>
      <c r="D96" s="768">
        <v>1.3064600000000064</v>
      </c>
      <c r="E96" s="768">
        <v>1994.3008499999999</v>
      </c>
      <c r="F96" s="768">
        <v>181.28800000000001</v>
      </c>
      <c r="G96" s="768">
        <v>545.13916015625</v>
      </c>
      <c r="H96" s="768">
        <v>418.07876900000008</v>
      </c>
      <c r="I96" s="768"/>
      <c r="J96" s="768">
        <v>18.771018999999999</v>
      </c>
      <c r="K96" s="484">
        <v>0</v>
      </c>
      <c r="L96" s="485">
        <v>1.960364</v>
      </c>
      <c r="M96" s="1126">
        <f t="shared" si="8"/>
        <v>4385.79420915625</v>
      </c>
      <c r="N96" s="111"/>
      <c r="O96" s="1124"/>
      <c r="AN96" s="644"/>
    </row>
    <row r="97" spans="1:40" ht="15" hidden="1">
      <c r="A97" s="206">
        <v>42917</v>
      </c>
      <c r="B97" s="1108">
        <f>961817.789/1000</f>
        <v>961.81778899999995</v>
      </c>
      <c r="C97" s="768">
        <f>203591.742188/1000</f>
        <v>203.59174218800001</v>
      </c>
      <c r="D97" s="768">
        <f>1358.31/1000</f>
        <v>1.3583099999999999</v>
      </c>
      <c r="E97" s="768">
        <f>2110857.377/1000</f>
        <v>2110.8573769999998</v>
      </c>
      <c r="F97" s="768">
        <f>168706/1000</f>
        <v>168.70599999999999</v>
      </c>
      <c r="G97" s="768">
        <f>332446.2890625/1000</f>
        <v>332.4462890625</v>
      </c>
      <c r="H97" s="768">
        <f>406504.513/1000</f>
        <v>406.50451299999997</v>
      </c>
      <c r="I97" s="768"/>
      <c r="J97" s="484">
        <f>20032.01/1000</f>
        <v>20.03201</v>
      </c>
      <c r="K97" s="484">
        <v>0</v>
      </c>
      <c r="L97" s="485">
        <f>1615.44/1000</f>
        <v>1.61544</v>
      </c>
      <c r="M97" s="1126">
        <f t="shared" si="8"/>
        <v>4206.9294702504994</v>
      </c>
      <c r="N97" s="111"/>
      <c r="O97" s="1124"/>
      <c r="AN97" s="644"/>
    </row>
    <row r="98" spans="1:40" ht="15" hidden="1">
      <c r="A98" s="206">
        <v>42948</v>
      </c>
      <c r="B98" s="1108">
        <f>888948.577/1000</f>
        <v>888.948577</v>
      </c>
      <c r="C98" s="768">
        <f>222976.94/1000</f>
        <v>222.97694000000001</v>
      </c>
      <c r="D98" s="768">
        <f>1367.35000000001/1000</f>
        <v>1.3673500000000098</v>
      </c>
      <c r="E98" s="768">
        <f>1765584.969/1000</f>
        <v>1765.584969</v>
      </c>
      <c r="F98" s="768">
        <f>180906/1000</f>
        <v>180.90600000000001</v>
      </c>
      <c r="G98" s="768">
        <f>592115/1000</f>
        <v>592.11500000000001</v>
      </c>
      <c r="H98" s="768">
        <f>386171.42/1000</f>
        <v>386.17142000000001</v>
      </c>
      <c r="I98" s="768"/>
      <c r="J98" s="484">
        <f>20062.145/1000</f>
        <v>20.062145000000001</v>
      </c>
      <c r="K98" s="484">
        <v>0</v>
      </c>
      <c r="L98" s="485">
        <f>2028.39/1000</f>
        <v>2.0283899999999999</v>
      </c>
      <c r="M98" s="1126">
        <f t="shared" si="8"/>
        <v>4060.1607910000002</v>
      </c>
      <c r="N98" s="111"/>
      <c r="O98" s="1124"/>
      <c r="AN98" s="644"/>
    </row>
    <row r="99" spans="1:40" ht="15" hidden="1">
      <c r="A99" s="206">
        <v>42979</v>
      </c>
      <c r="B99" s="1108">
        <f>805198.991/1000</f>
        <v>805.19899100000009</v>
      </c>
      <c r="C99" s="768">
        <f>233457.5/1000</f>
        <v>233.45750000000001</v>
      </c>
      <c r="D99" s="768">
        <f>855/1000</f>
        <v>0.85499999999999998</v>
      </c>
      <c r="E99" s="768">
        <f>1542885.46/1000</f>
        <v>1542.88546</v>
      </c>
      <c r="F99" s="768">
        <f>189183.7/1000</f>
        <v>189.18370000000002</v>
      </c>
      <c r="G99" s="768">
        <f>592588/1000</f>
        <v>592.58799999999997</v>
      </c>
      <c r="H99" s="768">
        <f>356031.925/1000</f>
        <v>356.031925</v>
      </c>
      <c r="I99" s="768"/>
      <c r="J99" s="484">
        <f>17757.79/1000</f>
        <v>17.75779</v>
      </c>
      <c r="K99" s="484">
        <v>0</v>
      </c>
      <c r="L99" s="485">
        <f>2371.37/1000</f>
        <v>2.3713699999999998</v>
      </c>
      <c r="M99" s="1126">
        <f t="shared" si="8"/>
        <v>3740.3297360000001</v>
      </c>
      <c r="N99" s="111"/>
      <c r="O99" s="1124"/>
      <c r="AN99" s="644"/>
    </row>
    <row r="100" spans="1:40" ht="15" hidden="1">
      <c r="A100" s="206">
        <v>43009</v>
      </c>
      <c r="B100" s="1234">
        <f>875361.471/1000</f>
        <v>875.36147100000005</v>
      </c>
      <c r="C100" s="1127">
        <f>192696.44/1000</f>
        <v>192.69644</v>
      </c>
      <c r="D100" s="1127">
        <f>850.059999999998/1000</f>
        <v>0.85005999999999804</v>
      </c>
      <c r="E100" s="1127">
        <f>1824076.679/1000</f>
        <v>1824.076679</v>
      </c>
      <c r="F100" s="1127">
        <f>176773/1000</f>
        <v>176.773</v>
      </c>
      <c r="G100" s="1127">
        <f>459262.6953125/1000</f>
        <v>459.2626953125</v>
      </c>
      <c r="H100" s="1127">
        <f>371325.525/1000</f>
        <v>371.32552500000003</v>
      </c>
      <c r="I100" s="1127"/>
      <c r="J100" s="1235">
        <f>20371.577/1000</f>
        <v>20.371577000000002</v>
      </c>
      <c r="K100" s="1235">
        <v>0</v>
      </c>
      <c r="L100" s="1236">
        <f>2095.71/1000</f>
        <v>2.09571</v>
      </c>
      <c r="M100" s="1126">
        <f t="shared" si="8"/>
        <v>3922.8131573125006</v>
      </c>
      <c r="N100" s="111"/>
      <c r="O100" s="1124"/>
      <c r="AN100" s="644"/>
    </row>
    <row r="101" spans="1:40" ht="15" hidden="1">
      <c r="A101" s="206">
        <v>43040</v>
      </c>
      <c r="B101" s="1234">
        <f>688947.494/1000</f>
        <v>688.94749399999989</v>
      </c>
      <c r="C101" s="1127">
        <f>348202.875/1000</f>
        <v>348.20287500000001</v>
      </c>
      <c r="D101" s="1127">
        <f>913/1000</f>
        <v>0.91300000000000003</v>
      </c>
      <c r="E101" s="1127">
        <f>1748203.153/1000</f>
        <v>1748.2031529999999</v>
      </c>
      <c r="F101" s="1127">
        <f>184618/1000</f>
        <v>184.61799999999999</v>
      </c>
      <c r="G101" s="1127">
        <f>512638.75/1000</f>
        <v>512.63874999999996</v>
      </c>
      <c r="H101" s="1127">
        <f>375826.463/1000</f>
        <v>375.82646299999999</v>
      </c>
      <c r="I101" s="1127"/>
      <c r="J101" s="1235">
        <f>20062.156/1000</f>
        <v>20.062155999999998</v>
      </c>
      <c r="K101" s="1235">
        <v>0</v>
      </c>
      <c r="L101" s="1236">
        <f>2104.13/1000</f>
        <v>2.1041300000000001</v>
      </c>
      <c r="M101" s="1126">
        <f t="shared" si="8"/>
        <v>3881.5160209999999</v>
      </c>
      <c r="N101" s="111"/>
      <c r="O101" s="1124"/>
      <c r="AN101" s="644"/>
    </row>
    <row r="102" spans="1:40" ht="15" hidden="1">
      <c r="A102" s="206">
        <v>43070</v>
      </c>
      <c r="B102" s="1234">
        <f>968145.14/1000</f>
        <v>968.14513999999997</v>
      </c>
      <c r="C102" s="1127">
        <f>195581.75/1000</f>
        <v>195.58175</v>
      </c>
      <c r="D102" s="1127">
        <f>833/1000</f>
        <v>0.83299999999999996</v>
      </c>
      <c r="E102" s="1127">
        <f>2144335.611/1000</f>
        <v>2144.335611</v>
      </c>
      <c r="F102" s="1127">
        <f>174912/1000</f>
        <v>174.91200000000001</v>
      </c>
      <c r="G102" s="1127">
        <f>366087.4023/1000</f>
        <v>366.08740230000001</v>
      </c>
      <c r="H102" s="1127">
        <f>411165.789/1000</f>
        <v>411.16578900000002</v>
      </c>
      <c r="I102" s="1127"/>
      <c r="J102" s="1235">
        <f>21183.641/1000</f>
        <v>21.183640999999998</v>
      </c>
      <c r="K102" s="1235">
        <v>0</v>
      </c>
      <c r="L102" s="1236">
        <f>2083.25/1000</f>
        <v>2.08325</v>
      </c>
      <c r="M102" s="1126">
        <f t="shared" si="8"/>
        <v>4284.3275832999989</v>
      </c>
      <c r="N102" s="111"/>
      <c r="O102" s="1124"/>
      <c r="AN102" s="644"/>
    </row>
    <row r="103" spans="1:40" s="1257" customFormat="1" ht="15.75" thickBot="1">
      <c r="A103" s="1283" t="s">
        <v>775</v>
      </c>
      <c r="B103" s="1293">
        <f>SUM(B91:B102)</f>
        <v>13001.966124</v>
      </c>
      <c r="C103" s="1293">
        <f t="shared" ref="C103:L103" si="11">SUM(C91:C102)</f>
        <v>1954.143122188</v>
      </c>
      <c r="D103" s="1293">
        <f t="shared" si="11"/>
        <v>13.592180000000013</v>
      </c>
      <c r="E103" s="1293">
        <f t="shared" si="11"/>
        <v>27614.290790000003</v>
      </c>
      <c r="F103" s="1293">
        <f t="shared" si="11"/>
        <v>2433.8663999999994</v>
      </c>
      <c r="G103" s="1293">
        <f t="shared" si="11"/>
        <v>4252.9698693312494</v>
      </c>
      <c r="H103" s="1293">
        <f t="shared" si="11"/>
        <v>5256.0496410000005</v>
      </c>
      <c r="I103" s="1293"/>
      <c r="J103" s="1293">
        <f t="shared" si="11"/>
        <v>240.09866699999998</v>
      </c>
      <c r="K103" s="1293">
        <f t="shared" si="11"/>
        <v>0</v>
      </c>
      <c r="L103" s="1293">
        <f t="shared" si="11"/>
        <v>25.167693999999997</v>
      </c>
      <c r="M103" s="1297">
        <f t="shared" si="8"/>
        <v>54792.144487519246</v>
      </c>
      <c r="N103" s="111"/>
      <c r="O103" s="1124"/>
      <c r="AN103" s="644"/>
    </row>
    <row r="104" spans="1:40" s="1257" customFormat="1" ht="15">
      <c r="A104" s="277">
        <v>43101</v>
      </c>
      <c r="B104" s="1298">
        <f>1118227.113/1000</f>
        <v>1118.2271129999999</v>
      </c>
      <c r="C104" s="1299">
        <f>205009.75/1000</f>
        <v>205.00975</v>
      </c>
      <c r="D104" s="1299">
        <f>833/1000</f>
        <v>0.83299999999999996</v>
      </c>
      <c r="E104" s="1299">
        <f>2737614.578/1000</f>
        <v>2737.6145780000002</v>
      </c>
      <c r="F104" s="1299">
        <f>(208222+9458+464)/1000</f>
        <v>218.14400000000001</v>
      </c>
      <c r="G104" s="1299">
        <f>118075.46/1000</f>
        <v>118.07546000000001</v>
      </c>
      <c r="H104" s="1299">
        <f>491633.275/1000</f>
        <v>491.63327500000003</v>
      </c>
      <c r="I104" s="1299"/>
      <c r="J104" s="79">
        <f>22523.489/1000</f>
        <v>22.523489000000001</v>
      </c>
      <c r="K104" s="79">
        <v>0</v>
      </c>
      <c r="L104" s="769">
        <f>(2007.851+464)/1000</f>
        <v>2.471851</v>
      </c>
      <c r="M104" s="5">
        <f t="shared" si="8"/>
        <v>4914.5325160000011</v>
      </c>
      <c r="N104" s="111"/>
      <c r="O104" s="1124"/>
      <c r="AN104" s="644"/>
    </row>
    <row r="105" spans="1:40" s="1257" customFormat="1" ht="15">
      <c r="A105" s="206">
        <v>43132</v>
      </c>
      <c r="B105" s="1234">
        <f>1273718.455/1000</f>
        <v>1273.7184550000002</v>
      </c>
      <c r="C105" s="1127">
        <f>70446.25/1000</f>
        <v>70.446250000000006</v>
      </c>
      <c r="D105" s="1127">
        <f>671/1000</f>
        <v>0.67100000000000004</v>
      </c>
      <c r="E105" s="1127">
        <f>2760342.208/1000</f>
        <v>2760.342208</v>
      </c>
      <c r="F105" s="1127">
        <f>(187893+8718+696)/1000</f>
        <v>197.30699999999999</v>
      </c>
      <c r="G105" s="1127">
        <f>79876/1000</f>
        <v>79.876000000000005</v>
      </c>
      <c r="H105" s="1127">
        <f>497685.109/1000</f>
        <v>497.68510900000001</v>
      </c>
      <c r="I105" s="1127"/>
      <c r="J105" s="1235">
        <f>23597.281/1000</f>
        <v>23.597280999999999</v>
      </c>
      <c r="K105" s="1235"/>
      <c r="L105" s="484">
        <f>(1649.423+464)/1000</f>
        <v>2.1134229999999996</v>
      </c>
      <c r="M105" s="1236">
        <f t="shared" si="8"/>
        <v>4905.7567260000005</v>
      </c>
      <c r="N105" s="111"/>
      <c r="O105" s="1124"/>
      <c r="AN105" s="644"/>
    </row>
    <row r="106" spans="1:40" s="1257" customFormat="1" ht="15">
      <c r="A106" s="206">
        <v>43160</v>
      </c>
      <c r="B106" s="1234">
        <f>1444849.098/1000</f>
        <v>1444.8490979999999</v>
      </c>
      <c r="C106" s="1127">
        <f>95522.625/1000</f>
        <v>95.522625000000005</v>
      </c>
      <c r="D106" s="1127">
        <v>0.83099999999999996</v>
      </c>
      <c r="E106" s="1127">
        <f>3139909.461/1000</f>
        <v>3139.9094610000002</v>
      </c>
      <c r="F106" s="1127">
        <f>(263118.8+10363+696)/1000</f>
        <v>274.17779999999999</v>
      </c>
      <c r="G106" s="1127">
        <f>108892.593/1000</f>
        <v>108.89259299999999</v>
      </c>
      <c r="H106" s="1127">
        <f>618082.024/1000</f>
        <v>618.08202399999993</v>
      </c>
      <c r="I106" s="1127"/>
      <c r="J106" s="1235">
        <f>26958.552/1000</f>
        <v>26.958552000000001</v>
      </c>
      <c r="K106" s="1235"/>
      <c r="L106" s="484">
        <f>(2161.258+464)/1000</f>
        <v>2.6252579999999996</v>
      </c>
      <c r="M106" s="1236">
        <f t="shared" si="8"/>
        <v>5711.8484109999999</v>
      </c>
      <c r="N106" s="111"/>
      <c r="O106" s="1124"/>
      <c r="AN106" s="644"/>
    </row>
    <row r="107" spans="1:40" s="1257" customFormat="1" ht="15">
      <c r="A107" s="206">
        <v>43191</v>
      </c>
      <c r="B107" s="1234">
        <f>1357173.848/1000</f>
        <v>1357.1738479999999</v>
      </c>
      <c r="C107" s="1127">
        <f>43216.375/1000</f>
        <v>43.216374999999999</v>
      </c>
      <c r="D107" s="1127">
        <v>0.76300000000000001</v>
      </c>
      <c r="E107" s="1127">
        <f>2852133.661/1000</f>
        <v>2852.1336609999998</v>
      </c>
      <c r="F107" s="1127">
        <f>(254712+ 10989.72+696)/1000</f>
        <v>266.39771999999999</v>
      </c>
      <c r="G107" s="1127">
        <f>84774/1000</f>
        <v>84.774000000000001</v>
      </c>
      <c r="H107" s="1127">
        <f>555228.046/1000</f>
        <v>555.22804599999995</v>
      </c>
      <c r="I107" s="1127"/>
      <c r="J107" s="1235">
        <f>20598.675/1000</f>
        <v>20.598675</v>
      </c>
      <c r="K107" s="1235"/>
      <c r="L107" s="484">
        <f>(2146.812+464)/1000</f>
        <v>2.6108119999999997</v>
      </c>
      <c r="M107" s="1236">
        <f t="shared" si="8"/>
        <v>5182.8961369999997</v>
      </c>
      <c r="N107" s="111"/>
      <c r="O107" s="1124"/>
      <c r="AN107" s="644"/>
    </row>
    <row r="108" spans="1:40" s="1820" customFormat="1" ht="15">
      <c r="A108" s="206">
        <v>43221</v>
      </c>
      <c r="B108" s="1234">
        <f>1215229.35/1000</f>
        <v>1215.2293500000001</v>
      </c>
      <c r="C108" s="1127">
        <f>256337.25/1000</f>
        <v>256.33724999999998</v>
      </c>
      <c r="D108" s="1127">
        <v>0.67900000000000005</v>
      </c>
      <c r="E108" s="1127">
        <f>2918309.727/1000</f>
        <v>2918.3097269999998</v>
      </c>
      <c r="F108" s="1127">
        <f>(179589+ 10426.28+696 )/1000</f>
        <v>190.71127999999999</v>
      </c>
      <c r="G108" s="1127">
        <f>177682/1000</f>
        <v>177.68199999999999</v>
      </c>
      <c r="H108" s="1127">
        <f>515989.186/1000</f>
        <v>515.98918600000002</v>
      </c>
      <c r="I108" s="1127"/>
      <c r="J108" s="1235">
        <f>24765.731/1000</f>
        <v>24.765730999999999</v>
      </c>
      <c r="K108" s="1235"/>
      <c r="L108" s="484">
        <f>(1876.539+464)/1000</f>
        <v>2.3405389999999997</v>
      </c>
      <c r="M108" s="1236">
        <f t="shared" si="8"/>
        <v>5302.0440629999994</v>
      </c>
      <c r="N108" s="111"/>
      <c r="O108" s="1124"/>
      <c r="AN108" s="644"/>
    </row>
    <row r="109" spans="1:40" s="2638" customFormat="1" ht="15">
      <c r="A109" s="206">
        <v>43252</v>
      </c>
      <c r="B109" s="1234">
        <f>800932.109/1000</f>
        <v>800.93210900000008</v>
      </c>
      <c r="C109" s="1127">
        <f>387003.5/1000</f>
        <v>387.00349999999997</v>
      </c>
      <c r="D109" s="1127">
        <v>0.64</v>
      </c>
      <c r="E109" s="1127">
        <f>2231035.332/1000</f>
        <v>2231.0353319999999</v>
      </c>
      <c r="F109" s="1127">
        <f>(134721+696)/1000</f>
        <v>135.417</v>
      </c>
      <c r="G109" s="1127">
        <f>318566/1000</f>
        <v>318.56599999999997</v>
      </c>
      <c r="H109" s="1127">
        <f>368384.432/1000</f>
        <v>368.38443199999995</v>
      </c>
      <c r="I109" s="1127">
        <v>5.8140000000000001</v>
      </c>
      <c r="J109" s="1235">
        <f>22950.056/1000</f>
        <v>22.950056</v>
      </c>
      <c r="K109" s="1235"/>
      <c r="L109" s="484">
        <f>(1560.499+464)/1000</f>
        <v>2.024499</v>
      </c>
      <c r="M109" s="1236">
        <f t="shared" ref="M109" si="12">SUM(B109:L109)</f>
        <v>4272.766928</v>
      </c>
      <c r="N109" s="111"/>
      <c r="O109" s="1124"/>
      <c r="AN109" s="644"/>
    </row>
    <row r="110" spans="1:40" s="1820" customFormat="1" ht="15">
      <c r="A110" s="206">
        <v>43282</v>
      </c>
      <c r="B110" s="1234">
        <f>848289/1000</f>
        <v>848.28899999999999</v>
      </c>
      <c r="C110" s="1127">
        <f>368598/1000</f>
        <v>368.59800000000001</v>
      </c>
      <c r="D110" s="1127">
        <v>0.63600000000000001</v>
      </c>
      <c r="E110" s="1127">
        <f>2113410/1000</f>
        <v>2113.41</v>
      </c>
      <c r="F110" s="1127">
        <f>(162222+696)/1000</f>
        <v>162.91800000000001</v>
      </c>
      <c r="G110" s="1127">
        <f>476489/1000</f>
        <v>476.48899999999998</v>
      </c>
      <c r="H110" s="1127">
        <f>463420/1000</f>
        <v>463.42</v>
      </c>
      <c r="I110" s="1127">
        <v>0</v>
      </c>
      <c r="J110" s="1235">
        <v>24.369</v>
      </c>
      <c r="K110" s="1235"/>
      <c r="L110" s="484">
        <f>+(1771+464)/1000</f>
        <v>2.2349999999999999</v>
      </c>
      <c r="M110" s="1236">
        <f t="shared" si="8"/>
        <v>4460.3639999999996</v>
      </c>
      <c r="N110" s="111"/>
      <c r="O110" s="1124"/>
      <c r="AN110" s="644"/>
    </row>
    <row r="111" spans="1:40" s="2638" customFormat="1" ht="15">
      <c r="A111" s="206">
        <v>43313</v>
      </c>
      <c r="B111" s="1234">
        <f>831370.971/1000</f>
        <v>831.37097100000005</v>
      </c>
      <c r="C111" s="1127">
        <f>311767/1000</f>
        <v>311.767</v>
      </c>
      <c r="D111" s="1127">
        <v>0.76700000000000002</v>
      </c>
      <c r="E111" s="1127">
        <f>1962720.469/1000</f>
        <v>1962.7204690000001</v>
      </c>
      <c r="F111" s="1127">
        <f>(179003+696)/1000</f>
        <v>179.69900000000001</v>
      </c>
      <c r="G111" s="1127">
        <f>511055/1000</f>
        <v>511.05500000000001</v>
      </c>
      <c r="H111" s="1127">
        <f>439496.071/1000</f>
        <v>439.49607099999997</v>
      </c>
      <c r="I111" s="1127">
        <v>2.7469999999999999</v>
      </c>
      <c r="J111" s="1235">
        <f>23258.777/1000</f>
        <v>23.258776999999998</v>
      </c>
      <c r="K111" s="1235"/>
      <c r="L111" s="484">
        <f>(1951.335+464)/1000</f>
        <v>2.4153350000000002</v>
      </c>
      <c r="M111" s="1236">
        <f>SUM(B111:L111)</f>
        <v>4265.2966230000002</v>
      </c>
      <c r="N111" s="111"/>
      <c r="O111" s="1124"/>
      <c r="AN111" s="644"/>
    </row>
    <row r="112" spans="1:40" s="2638" customFormat="1" ht="15.75" thickBot="1">
      <c r="A112" s="206">
        <v>43344</v>
      </c>
      <c r="B112" s="1234">
        <f>835130.399/1000</f>
        <v>835.13039900000001</v>
      </c>
      <c r="C112" s="1127">
        <f>255019.5/1000</f>
        <v>255.01949999999999</v>
      </c>
      <c r="D112" s="1127">
        <v>0.71299999999999997</v>
      </c>
      <c r="E112" s="1127">
        <f>1878997.503/1000</f>
        <v>1878.9975030000001</v>
      </c>
      <c r="F112" s="1127">
        <f>167240/1000+696/1000</f>
        <v>167.93600000000001</v>
      </c>
      <c r="G112" s="1127">
        <f>445300/1000</f>
        <v>445.3</v>
      </c>
      <c r="H112" s="1127">
        <f>339739/1000</f>
        <v>339.73899999999998</v>
      </c>
      <c r="I112" s="1127">
        <f>+(85045+464)/1000</f>
        <v>85.509</v>
      </c>
      <c r="J112" s="1235">
        <f>21293.702/1000</f>
        <v>21.293702</v>
      </c>
      <c r="K112" s="1235"/>
      <c r="L112" s="484">
        <f>+(1831.489+464)/1000</f>
        <v>2.2954889999999999</v>
      </c>
      <c r="M112" s="1236">
        <f>SUM(B112:L112)</f>
        <v>4031.9335930000007</v>
      </c>
      <c r="N112" s="111"/>
      <c r="O112" s="1124"/>
      <c r="AN112" s="644"/>
    </row>
    <row r="113" spans="1:24" s="4" customFormat="1" ht="14.25" customHeight="1" thickBot="1">
      <c r="A113" s="1237" t="s">
        <v>165</v>
      </c>
      <c r="B113" s="216">
        <f>(B112/B111)-1</f>
        <v>4.5219620736551835E-3</v>
      </c>
      <c r="C113" s="216">
        <f t="shared" ref="C113:M113" si="13">(C112/C111)-1</f>
        <v>-0.18201894363418836</v>
      </c>
      <c r="D113" s="216">
        <f t="shared" si="13"/>
        <v>-7.0404172099087448E-2</v>
      </c>
      <c r="E113" s="216">
        <f t="shared" si="13"/>
        <v>-4.2656591869476235E-2</v>
      </c>
      <c r="F113" s="216">
        <f t="shared" si="13"/>
        <v>-6.5459462768295951E-2</v>
      </c>
      <c r="G113" s="216">
        <f t="shared" si="13"/>
        <v>-0.12866521215916094</v>
      </c>
      <c r="H113" s="216">
        <f t="shared" si="13"/>
        <v>-0.22698057521428905</v>
      </c>
      <c r="I113" s="216">
        <f t="shared" si="13"/>
        <v>30.128139788860576</v>
      </c>
      <c r="J113" s="216">
        <f t="shared" si="13"/>
        <v>-8.4487460368186995E-2</v>
      </c>
      <c r="K113" s="216" t="e">
        <f t="shared" si="13"/>
        <v>#DIV/0!</v>
      </c>
      <c r="L113" s="216">
        <f t="shared" si="13"/>
        <v>-4.9618789940111929E-2</v>
      </c>
      <c r="M113" s="216">
        <f t="shared" si="13"/>
        <v>-5.4712028406564528E-2</v>
      </c>
      <c r="N113" s="111"/>
      <c r="O113" s="830"/>
    </row>
    <row r="114" spans="1:24" s="1376" customFormat="1" ht="14.25" customHeight="1">
      <c r="A114" s="1372"/>
      <c r="B114" s="1373"/>
      <c r="C114" s="1373"/>
      <c r="D114" s="1373"/>
      <c r="E114" s="1373"/>
      <c r="F114" s="1373"/>
      <c r="G114" s="1373"/>
      <c r="H114" s="1373"/>
      <c r="I114" s="1373"/>
      <c r="J114" s="1373"/>
      <c r="K114" s="1373"/>
      <c r="L114" s="1373"/>
      <c r="M114" s="1373"/>
      <c r="N114" s="1374"/>
      <c r="O114" s="1375"/>
    </row>
    <row r="115" spans="1:24" s="4" customFormat="1" ht="6.75" customHeight="1">
      <c r="C115" s="374"/>
      <c r="I115" s="1830"/>
      <c r="O115" s="831"/>
    </row>
    <row r="116" spans="1:24" s="4" customFormat="1" ht="15" customHeight="1">
      <c r="C116" s="374"/>
      <c r="I116" s="1830"/>
      <c r="O116"/>
    </row>
    <row r="117" spans="1:24" s="4" customFormat="1" ht="15" customHeight="1">
      <c r="C117" s="374"/>
      <c r="I117" s="1830"/>
      <c r="N117" s="981"/>
      <c r="O117" s="827"/>
    </row>
    <row r="118" spans="1:24" s="4" customFormat="1" ht="15" customHeight="1">
      <c r="C118" s="374"/>
      <c r="I118" s="1830"/>
      <c r="O118" s="422"/>
    </row>
    <row r="119" spans="1:24" s="4" customFormat="1" ht="15" customHeight="1">
      <c r="C119" s="374"/>
      <c r="I119" s="1830"/>
      <c r="O119" s="834"/>
    </row>
    <row r="120" spans="1:24" s="4" customFormat="1" ht="15" customHeight="1">
      <c r="C120" s="374"/>
      <c r="I120" s="1830"/>
      <c r="O120" s="828"/>
      <c r="R120" s="2987"/>
      <c r="S120" s="2987"/>
      <c r="T120" s="2987"/>
      <c r="U120" s="2987"/>
      <c r="V120" s="2987"/>
      <c r="W120" s="2987"/>
      <c r="X120" s="2987"/>
    </row>
    <row r="121" spans="1:24" s="4" customFormat="1" ht="15" customHeight="1">
      <c r="C121" s="374"/>
      <c r="I121" s="1830"/>
      <c r="O121" s="828"/>
      <c r="R121" s="2987"/>
      <c r="S121" s="2987"/>
      <c r="T121" s="2987"/>
      <c r="U121" s="2987"/>
      <c r="V121" s="2987"/>
      <c r="W121" s="2987"/>
      <c r="X121" s="2987"/>
    </row>
    <row r="122" spans="1:24" s="4" customFormat="1" ht="15" customHeight="1">
      <c r="C122" s="374"/>
      <c r="I122" s="1830"/>
      <c r="O122" s="828"/>
      <c r="Q122" s="672"/>
      <c r="R122" s="111"/>
      <c r="S122" s="111"/>
      <c r="T122" s="111"/>
      <c r="U122" s="111"/>
      <c r="V122" s="111"/>
    </row>
    <row r="123" spans="1:24" s="4" customFormat="1" ht="15" customHeight="1">
      <c r="C123" s="374"/>
      <c r="I123" s="1830"/>
      <c r="Q123" s="672"/>
      <c r="R123" s="111"/>
      <c r="S123" s="111"/>
      <c r="T123" s="111"/>
      <c r="U123" s="111"/>
      <c r="V123" s="111"/>
    </row>
    <row r="124" spans="1:24" s="4" customFormat="1" ht="15" customHeight="1">
      <c r="C124" s="374"/>
      <c r="I124" s="1830"/>
      <c r="O124" s="833"/>
      <c r="Q124" s="672"/>
      <c r="R124" s="111"/>
      <c r="S124" s="111"/>
      <c r="T124" s="111"/>
      <c r="U124" s="111"/>
      <c r="V124" s="111"/>
    </row>
    <row r="125" spans="1:24" s="4" customFormat="1" ht="15" customHeight="1">
      <c r="C125" s="374"/>
      <c r="I125" s="1830"/>
      <c r="O125" s="832"/>
      <c r="Q125" s="672"/>
      <c r="R125" s="111"/>
      <c r="S125" s="111"/>
      <c r="T125" s="111"/>
      <c r="U125" s="111"/>
      <c r="V125" s="111"/>
    </row>
    <row r="126" spans="1:24" s="4" customFormat="1" ht="15" customHeight="1">
      <c r="C126" s="374"/>
      <c r="I126" s="1830"/>
      <c r="Q126" s="672"/>
      <c r="R126" s="111"/>
      <c r="S126" s="111"/>
      <c r="T126" s="111"/>
      <c r="U126" s="111"/>
      <c r="V126" s="111"/>
    </row>
    <row r="127" spans="1:24" s="4" customFormat="1" ht="15" customHeight="1">
      <c r="C127" s="374"/>
      <c r="I127" s="1830"/>
      <c r="Q127" s="672"/>
      <c r="R127" s="111"/>
      <c r="S127" s="111"/>
      <c r="T127" s="111"/>
      <c r="U127" s="111"/>
      <c r="V127" s="111"/>
    </row>
    <row r="128" spans="1:24" s="4" customFormat="1" ht="15" customHeight="1">
      <c r="C128" s="374"/>
      <c r="I128" s="1830"/>
      <c r="O128" s="828"/>
      <c r="Q128" s="672"/>
      <c r="R128" s="111"/>
      <c r="S128" s="111"/>
      <c r="T128" s="111"/>
      <c r="U128" s="111"/>
      <c r="V128" s="111"/>
    </row>
    <row r="129" spans="2:22" s="4" customFormat="1" ht="15" customHeight="1">
      <c r="C129" s="374"/>
      <c r="I129" s="1830"/>
      <c r="O129" s="828"/>
      <c r="Q129" s="672"/>
      <c r="R129" s="111"/>
      <c r="S129" s="111"/>
      <c r="T129" s="111"/>
      <c r="U129" s="111"/>
      <c r="V129" s="111"/>
    </row>
    <row r="130" spans="2:22" s="4" customFormat="1" ht="15" customHeight="1">
      <c r="B130" s="1657"/>
      <c r="C130" s="374"/>
      <c r="I130" s="1830"/>
      <c r="O130" s="828"/>
      <c r="Q130" s="672"/>
      <c r="R130" s="111"/>
      <c r="S130" s="111"/>
      <c r="T130" s="111"/>
      <c r="U130" s="111"/>
      <c r="V130" s="111"/>
    </row>
    <row r="131" spans="2:22" s="4" customFormat="1" ht="15" customHeight="1">
      <c r="B131" s="1657"/>
      <c r="C131" s="374"/>
      <c r="I131" s="1830"/>
      <c r="O131" s="828"/>
      <c r="Q131" s="672"/>
      <c r="R131" s="111"/>
      <c r="S131" s="111"/>
      <c r="T131" s="111"/>
      <c r="U131" s="111"/>
      <c r="V131" s="111"/>
    </row>
    <row r="132" spans="2:22" s="4" customFormat="1" ht="15" customHeight="1">
      <c r="B132" s="1657"/>
      <c r="C132" s="374"/>
      <c r="I132" s="1830"/>
      <c r="Q132" s="672"/>
      <c r="R132" s="111"/>
      <c r="S132" s="111"/>
      <c r="T132" s="111"/>
      <c r="U132" s="111"/>
      <c r="V132" s="111"/>
    </row>
    <row r="133" spans="2:22" s="4" customFormat="1" ht="15" customHeight="1">
      <c r="B133"/>
      <c r="C133" s="374"/>
      <c r="I133" s="1830"/>
      <c r="Q133" s="672"/>
      <c r="R133" s="111"/>
      <c r="S133" s="111"/>
      <c r="T133" s="111"/>
      <c r="U133" s="111"/>
      <c r="V133" s="111"/>
    </row>
    <row r="134" spans="2:22" s="4" customFormat="1" ht="15" customHeight="1">
      <c r="B134" s="1657"/>
      <c r="C134" s="374"/>
      <c r="I134" s="1830"/>
    </row>
    <row r="135" spans="2:22" s="4" customFormat="1" ht="15" customHeight="1">
      <c r="B135" s="1658"/>
      <c r="C135" s="374"/>
      <c r="I135" s="1830"/>
    </row>
    <row r="136" spans="2:22" s="4" customFormat="1" ht="15" customHeight="1">
      <c r="B136" s="1658"/>
      <c r="C136" s="374"/>
      <c r="I136" s="1830"/>
      <c r="O136" s="826"/>
    </row>
    <row r="137" spans="2:22" s="1258" customFormat="1" ht="15" customHeight="1">
      <c r="C137" s="374"/>
      <c r="I137" s="1830"/>
      <c r="O137" s="826"/>
    </row>
    <row r="138" spans="2:22" ht="15" customHeight="1"/>
    <row r="139" spans="2:22" ht="15" customHeight="1"/>
    <row r="140" spans="2:22" ht="12" customHeight="1"/>
    <row r="141" spans="2:22" ht="15" customHeight="1"/>
    <row r="142" spans="2:22" ht="15" customHeight="1"/>
    <row r="143" spans="2:22" ht="15" customHeight="1"/>
    <row r="144" spans="2:22" ht="15" customHeight="1"/>
    <row r="145" spans="1:17" ht="15" customHeight="1"/>
    <row r="146" spans="1:17" ht="15" customHeight="1"/>
    <row r="147" spans="1:17" ht="15" customHeight="1"/>
    <row r="148" spans="1:17" s="1257" customFormat="1" ht="15" customHeight="1">
      <c r="C148" s="378"/>
      <c r="I148" s="1820"/>
      <c r="N148" s="1258"/>
      <c r="O148" s="1258"/>
    </row>
    <row r="149" spans="1:17" ht="5.25" customHeight="1">
      <c r="D149" s="424"/>
      <c r="O149" s="829"/>
    </row>
    <row r="150" spans="1:17" s="1369" customFormat="1" ht="12.75" customHeight="1">
      <c r="A150" s="2955" t="s">
        <v>668</v>
      </c>
      <c r="B150" s="2956"/>
      <c r="C150" s="2956"/>
      <c r="D150" s="2956"/>
      <c r="E150" s="2956"/>
      <c r="F150" s="2956"/>
      <c r="G150" s="2956"/>
      <c r="H150" s="2956"/>
      <c r="I150" s="2956"/>
      <c r="J150" s="2956"/>
      <c r="K150" s="2956"/>
      <c r="L150" s="2956"/>
      <c r="M150" s="2956"/>
      <c r="N150" s="1368"/>
      <c r="O150" s="1368"/>
      <c r="P150" s="1368"/>
      <c r="Q150" s="1368"/>
    </row>
    <row r="151" spans="1:17" s="1369" customFormat="1" ht="13.5" thickBot="1">
      <c r="A151" s="2957"/>
      <c r="B151" s="2958"/>
      <c r="C151" s="2958"/>
      <c r="D151" s="2958"/>
      <c r="E151" s="2958"/>
      <c r="F151" s="2958"/>
      <c r="G151" s="2958"/>
      <c r="H151" s="2958"/>
      <c r="I151" s="2958"/>
      <c r="J151" s="2958"/>
      <c r="K151" s="2958"/>
      <c r="L151" s="2958"/>
      <c r="M151" s="2958"/>
      <c r="N151" s="1368"/>
      <c r="O151" s="1368"/>
      <c r="P151" s="1368"/>
      <c r="Q151" s="1368"/>
    </row>
    <row r="152" spans="1:17" ht="13.5" thickBot="1">
      <c r="A152" s="2966" t="s">
        <v>664</v>
      </c>
      <c r="B152" s="2967"/>
      <c r="C152" s="2967"/>
      <c r="D152" s="1263">
        <v>42736</v>
      </c>
      <c r="E152" s="1263">
        <v>42767</v>
      </c>
      <c r="F152" s="1263">
        <v>42795</v>
      </c>
      <c r="G152" s="1263">
        <v>42826</v>
      </c>
      <c r="H152" s="1263">
        <v>42856</v>
      </c>
      <c r="I152" s="1263">
        <v>42887</v>
      </c>
      <c r="J152" s="1263">
        <v>42917</v>
      </c>
      <c r="L152" s="1263">
        <v>42948</v>
      </c>
      <c r="M152" s="1263">
        <v>42979</v>
      </c>
      <c r="O152" s="1"/>
    </row>
    <row r="153" spans="1:17" ht="14.25">
      <c r="A153" s="2974" t="s">
        <v>427</v>
      </c>
      <c r="B153" s="2975"/>
      <c r="C153" s="2976"/>
      <c r="D153" s="1660">
        <v>4591.042684</v>
      </c>
      <c r="E153" s="1666">
        <v>4726.5215570000009</v>
      </c>
      <c r="F153" s="370">
        <v>5235.1862789999996</v>
      </c>
      <c r="G153" s="1671">
        <f>B94+E94+H94+J94</f>
        <v>5029.0589779999991</v>
      </c>
      <c r="H153" s="1114">
        <f>B95+E95+H95+J95</f>
        <v>4330.4987090000004</v>
      </c>
      <c r="I153" s="1114">
        <f>$B96+$E96+$H96+$J96</f>
        <v>3449.2393500000003</v>
      </c>
      <c r="J153" s="1114">
        <f>B97+E97+H97+J97</f>
        <v>3499.2116889999998</v>
      </c>
      <c r="L153" s="1114">
        <f>B98+E98+H98+J98</f>
        <v>3060.7671110000001</v>
      </c>
      <c r="M153" s="1114">
        <f>B99+E99+H99+J99</f>
        <v>2721.8741660000001</v>
      </c>
      <c r="O153" s="1"/>
    </row>
    <row r="154" spans="1:17" ht="14.25">
      <c r="A154" s="2963" t="s">
        <v>428</v>
      </c>
      <c r="B154" s="2964"/>
      <c r="C154" s="2977"/>
      <c r="D154" s="1661">
        <v>170.37751507812499</v>
      </c>
      <c r="E154" s="1667">
        <v>70.993355767299093</v>
      </c>
      <c r="F154" s="371">
        <v>87.516220404575904</v>
      </c>
      <c r="G154" s="1672">
        <f>C94+G94</f>
        <v>188.50152000000003</v>
      </c>
      <c r="H154" s="1115">
        <f>C95+G95</f>
        <v>686.07896125000002</v>
      </c>
      <c r="I154" s="1115">
        <f>C96+G96</f>
        <v>752.00003515624996</v>
      </c>
      <c r="J154" s="1115">
        <f>C97+G97</f>
        <v>536.03803125050001</v>
      </c>
      <c r="L154" s="1115">
        <f>C98+G98</f>
        <v>815.09194000000002</v>
      </c>
      <c r="M154" s="1115">
        <f>C99+G99</f>
        <v>826.04549999999995</v>
      </c>
      <c r="O154" s="1"/>
    </row>
    <row r="155" spans="1:17" s="204" customFormat="1" ht="14.25">
      <c r="A155" s="2963" t="s">
        <v>429</v>
      </c>
      <c r="B155" s="2964"/>
      <c r="C155" s="2977"/>
      <c r="D155" s="1662">
        <v>222.773</v>
      </c>
      <c r="E155" s="1668">
        <v>265.22494142857153</v>
      </c>
      <c r="F155" s="371">
        <v>216.33467857142847</v>
      </c>
      <c r="G155" s="1672">
        <f>D94+F94+L94</f>
        <v>265.56363000000005</v>
      </c>
      <c r="H155" s="1115">
        <f>D95+F95+L95</f>
        <v>224.60105000000001</v>
      </c>
      <c r="I155" s="1115">
        <f>D96+F96+L96</f>
        <v>184.55482400000002</v>
      </c>
      <c r="J155" s="1115">
        <f>D97+F97+L97</f>
        <v>171.67974999999998</v>
      </c>
      <c r="L155" s="1115">
        <f>D98+F98+L98</f>
        <v>184.30174000000002</v>
      </c>
      <c r="M155" s="1115">
        <f>D99+F99+L99</f>
        <v>192.41007000000002</v>
      </c>
    </row>
    <row r="156" spans="1:17" ht="15" thickBot="1">
      <c r="A156" s="2978" t="s">
        <v>430</v>
      </c>
      <c r="B156" s="2979"/>
      <c r="C156" s="2980"/>
      <c r="D156" s="1662">
        <v>0</v>
      </c>
      <c r="E156" s="1668">
        <v>0</v>
      </c>
      <c r="F156" s="1677">
        <v>0</v>
      </c>
      <c r="G156" s="1673">
        <v>0</v>
      </c>
      <c r="H156" s="1116">
        <v>0</v>
      </c>
      <c r="I156" s="1116">
        <v>0</v>
      </c>
      <c r="J156" s="1116">
        <f>+D156+E156+F156+G156+H156+I156</f>
        <v>0</v>
      </c>
      <c r="L156" s="1264"/>
      <c r="M156" s="1264"/>
      <c r="O156" s="1"/>
    </row>
    <row r="157" spans="1:17" ht="15" thickBot="1">
      <c r="A157" s="2981" t="s">
        <v>665</v>
      </c>
      <c r="B157" s="2982"/>
      <c r="C157" s="2983"/>
      <c r="D157" s="1663">
        <f t="shared" ref="D157:I157" si="14">SUM(D153:D156)</f>
        <v>4984.193199078125</v>
      </c>
      <c r="E157" s="1669">
        <f t="shared" si="14"/>
        <v>5062.7398541958719</v>
      </c>
      <c r="F157" s="1669">
        <f t="shared" si="14"/>
        <v>5539.0371779760035</v>
      </c>
      <c r="G157" s="1674">
        <f t="shared" si="14"/>
        <v>5483.1241279999986</v>
      </c>
      <c r="H157" s="1117">
        <f t="shared" si="14"/>
        <v>5241.1787202500009</v>
      </c>
      <c r="I157" s="1117">
        <f t="shared" si="14"/>
        <v>4385.79420915625</v>
      </c>
      <c r="J157" s="1117">
        <f>SUM(J153:J156)</f>
        <v>4206.9294702504994</v>
      </c>
      <c r="L157" s="1117">
        <f>SUM(L153:L156)</f>
        <v>4060.1607910000002</v>
      </c>
      <c r="M157" s="1117">
        <f>SUM(M153:M156)</f>
        <v>3740.3297359999997</v>
      </c>
      <c r="O157" s="1"/>
      <c r="Q157" s="644"/>
    </row>
    <row r="158" spans="1:17" ht="14.25">
      <c r="A158" s="2968" t="s">
        <v>666</v>
      </c>
      <c r="B158" s="2969"/>
      <c r="C158" s="2970"/>
      <c r="D158" s="1664">
        <f t="shared" ref="D158:I158" si="15">SUM(D154:D156)/D157</f>
        <v>7.8879469429644494E-2</v>
      </c>
      <c r="E158" s="1670">
        <f t="shared" si="15"/>
        <v>6.6410344374542823E-2</v>
      </c>
      <c r="F158" s="1670">
        <f t="shared" si="15"/>
        <v>5.4856266389429302E-2</v>
      </c>
      <c r="G158" s="1675">
        <f t="shared" si="15"/>
        <v>8.2811393541372E-2</v>
      </c>
      <c r="H158" s="1118">
        <f t="shared" si="15"/>
        <v>0.17375480972084867</v>
      </c>
      <c r="I158" s="1118">
        <f t="shared" si="15"/>
        <v>0.21354281904084751</v>
      </c>
      <c r="J158" s="1119">
        <f>SUM(J154:J156)/J157</f>
        <v>0.16822668082627953</v>
      </c>
      <c r="L158" s="1119">
        <f>SUM(L154:L156)/L157</f>
        <v>0.24614633051363802</v>
      </c>
      <c r="M158" s="1119">
        <f>SUM(M154:M156)/M157</f>
        <v>0.27229031713368707</v>
      </c>
      <c r="O158" s="1"/>
    </row>
    <row r="159" spans="1:17" ht="15" thickBot="1">
      <c r="A159" s="2971" t="s">
        <v>667</v>
      </c>
      <c r="B159" s="2972"/>
      <c r="C159" s="2973"/>
      <c r="D159" s="1665">
        <f t="shared" ref="D159:I159" si="16">D153/D157</f>
        <v>0.92112053057035548</v>
      </c>
      <c r="E159" s="1381">
        <f t="shared" si="16"/>
        <v>0.93358965562545715</v>
      </c>
      <c r="F159" s="1381">
        <f t="shared" si="16"/>
        <v>0.9451437336105708</v>
      </c>
      <c r="G159" s="1676">
        <f t="shared" si="16"/>
        <v>0.9171886064586281</v>
      </c>
      <c r="H159" s="1120">
        <f t="shared" si="16"/>
        <v>0.82624519027915122</v>
      </c>
      <c r="I159" s="1120">
        <f t="shared" si="16"/>
        <v>0.78645718095915251</v>
      </c>
      <c r="J159" s="1121">
        <f>J153/J157</f>
        <v>0.83177331917372055</v>
      </c>
      <c r="L159" s="1121">
        <f>L153/L157</f>
        <v>0.75385366948636201</v>
      </c>
      <c r="M159" s="1121">
        <f>M153/M157</f>
        <v>0.72770968286631299</v>
      </c>
      <c r="N159" s="1"/>
      <c r="O159" s="1"/>
    </row>
    <row r="160" spans="1:17" s="1257" customFormat="1" ht="15" thickBot="1">
      <c r="A160" s="1301"/>
      <c r="B160" s="1301"/>
      <c r="C160" s="1301"/>
      <c r="D160" s="1380">
        <v>43009</v>
      </c>
      <c r="E160" s="1659">
        <v>43040</v>
      </c>
      <c r="F160" s="1263">
        <v>43070</v>
      </c>
      <c r="G160" s="1263" t="s">
        <v>214</v>
      </c>
      <c r="I160" s="1820"/>
      <c r="K160" s="1303"/>
      <c r="L160" s="1303"/>
      <c r="M160" s="1303"/>
      <c r="N160" s="1303"/>
      <c r="O160" s="1303"/>
      <c r="P160" s="1303"/>
      <c r="Q160" s="1303"/>
    </row>
    <row r="161" spans="1:17" s="1257" customFormat="1" ht="14.25">
      <c r="A161" s="1301"/>
      <c r="B161" s="1301"/>
      <c r="C161" s="1301"/>
      <c r="D161" s="1383">
        <f>B100+E100+H100+J100</f>
        <v>3091.135252</v>
      </c>
      <c r="E161" s="1377">
        <f>B101+E101+H101+J101</f>
        <v>2833.0392659999998</v>
      </c>
      <c r="F161" s="1114">
        <f>B102+E102+H102+J102</f>
        <v>3544.8301810000003</v>
      </c>
      <c r="G161" s="1114">
        <f>SUM(D153:O153)</f>
        <v>36643.400522999997</v>
      </c>
      <c r="I161" s="1820"/>
      <c r="K161" s="1303"/>
      <c r="L161" s="1303"/>
      <c r="M161" s="1303"/>
      <c r="N161" s="1303"/>
      <c r="O161" s="1303"/>
      <c r="P161" s="1303"/>
      <c r="Q161" s="1303"/>
    </row>
    <row r="162" spans="1:17" s="1257" customFormat="1" ht="14.25">
      <c r="A162" s="1301"/>
      <c r="B162" s="1301"/>
      <c r="C162" s="1301"/>
      <c r="D162" s="1384">
        <f>C100+G100</f>
        <v>651.95913531249994</v>
      </c>
      <c r="E162" s="1378">
        <f>C101+G101</f>
        <v>860.84162500000002</v>
      </c>
      <c r="F162" s="1115">
        <f>C102+G102</f>
        <v>561.66915229999995</v>
      </c>
      <c r="G162" s="1115">
        <f>SUM(D154:O154)</f>
        <v>4132.6430789067499</v>
      </c>
      <c r="I162" s="1820"/>
      <c r="K162" s="1303"/>
      <c r="L162" s="1303"/>
      <c r="M162" s="1303"/>
      <c r="N162" s="1303"/>
      <c r="O162" s="1303"/>
      <c r="P162" s="1303"/>
      <c r="Q162" s="1303"/>
    </row>
    <row r="163" spans="1:17" s="1257" customFormat="1" ht="14.25">
      <c r="A163" s="1301"/>
      <c r="B163" s="1301"/>
      <c r="C163" s="1301"/>
      <c r="D163" s="1384">
        <f>D100+F100+L100</f>
        <v>179.71876999999998</v>
      </c>
      <c r="E163" s="1378">
        <f>D101+F101+L101</f>
        <v>187.63513</v>
      </c>
      <c r="F163" s="1115">
        <f>D102+F102+L102</f>
        <v>177.82825</v>
      </c>
      <c r="G163" s="1115">
        <f>SUM(D155:O155)</f>
        <v>1927.4436840000003</v>
      </c>
      <c r="I163" s="1820"/>
      <c r="K163" s="1303"/>
      <c r="L163" s="1303"/>
      <c r="M163" s="1303"/>
      <c r="N163" s="1303"/>
      <c r="O163" s="1303"/>
      <c r="P163" s="1303"/>
      <c r="Q163" s="1303"/>
    </row>
    <row r="164" spans="1:17" s="1257" customFormat="1" ht="15" thickBot="1">
      <c r="A164" s="1301"/>
      <c r="B164" s="1301"/>
      <c r="C164" s="1301"/>
      <c r="D164" s="1392"/>
      <c r="E164" s="1391"/>
      <c r="F164" s="1264"/>
      <c r="G164" s="1264">
        <f>SUM(D156:O156)</f>
        <v>0</v>
      </c>
      <c r="I164" s="1820"/>
      <c r="K164" s="1303"/>
      <c r="L164" s="1303"/>
      <c r="M164" s="1303"/>
      <c r="N164" s="1303"/>
      <c r="O164" s="1303"/>
      <c r="P164" s="1303"/>
      <c r="Q164" s="1303"/>
    </row>
    <row r="165" spans="1:17" s="1257" customFormat="1" ht="15" thickBot="1">
      <c r="A165" s="1301"/>
      <c r="B165" s="1301"/>
      <c r="C165" s="1301"/>
      <c r="D165" s="1385">
        <f>SUM(D161:D164)</f>
        <v>3922.8131573124997</v>
      </c>
      <c r="E165" s="1379">
        <f>SUM(E161:E164)</f>
        <v>3881.5160209999999</v>
      </c>
      <c r="F165" s="1117">
        <f>SUM(F161:F164)</f>
        <v>4284.3275832999998</v>
      </c>
      <c r="G165" s="1117">
        <f>SUM(G161:G164)</f>
        <v>42703.487285906747</v>
      </c>
      <c r="I165" s="1820"/>
      <c r="K165" s="1303"/>
      <c r="L165" s="1303"/>
      <c r="M165" s="1303"/>
      <c r="N165" s="1303"/>
      <c r="O165" s="1303"/>
      <c r="P165" s="1303"/>
      <c r="Q165" s="1303"/>
    </row>
    <row r="166" spans="1:17" s="1257" customFormat="1" ht="14.25">
      <c r="A166" s="1301"/>
      <c r="B166" s="1301"/>
      <c r="C166" s="1301"/>
      <c r="D166" s="1393">
        <f>SUM(D162:D164)/D165</f>
        <v>0.21201058321173735</v>
      </c>
      <c r="E166" s="1386">
        <f>SUM(E162:E164)/E165</f>
        <v>0.27012042442372292</v>
      </c>
      <c r="F166" s="1119">
        <f>SUM(F162:F164)/F165</f>
        <v>0.17260524269491145</v>
      </c>
      <c r="G166" s="1119">
        <f>SUM(G162:G164)/G165</f>
        <v>0.14191081684578805</v>
      </c>
      <c r="I166" s="1820"/>
      <c r="K166" s="1303"/>
      <c r="L166" s="1303"/>
      <c r="M166" s="1303"/>
      <c r="N166" s="1303"/>
      <c r="O166" s="1303"/>
      <c r="P166" s="1303"/>
      <c r="Q166" s="1303"/>
    </row>
    <row r="167" spans="1:17" s="1257" customFormat="1" ht="15" thickBot="1">
      <c r="A167" s="1301"/>
      <c r="B167" s="1301"/>
      <c r="C167" s="1301"/>
      <c r="D167" s="1394">
        <f>D161/D165</f>
        <v>0.78798941678826273</v>
      </c>
      <c r="E167" s="1387">
        <f>E161/E165</f>
        <v>0.72987957557627714</v>
      </c>
      <c r="F167" s="1121">
        <f>F161/F165</f>
        <v>0.8273947573050886</v>
      </c>
      <c r="G167" s="1121">
        <f>G161/G165</f>
        <v>0.85808918315421201</v>
      </c>
      <c r="I167" s="1820"/>
      <c r="K167" s="1303"/>
      <c r="L167" s="1303"/>
      <c r="M167" s="1303"/>
      <c r="N167" s="1303"/>
      <c r="O167" s="1303"/>
      <c r="P167" s="1303"/>
      <c r="Q167" s="1303"/>
    </row>
    <row r="168" spans="1:17" s="1257" customFormat="1" ht="14.25">
      <c r="A168" s="1301"/>
      <c r="B168" s="1301"/>
      <c r="C168" s="1301"/>
      <c r="D168" s="1303"/>
      <c r="E168" s="1303"/>
      <c r="F168" s="1303"/>
      <c r="G168" s="1303"/>
      <c r="I168" s="1820"/>
      <c r="K168" s="1303"/>
      <c r="L168" s="1303"/>
      <c r="M168" s="1303"/>
      <c r="N168" s="1303"/>
      <c r="O168" s="1303"/>
      <c r="P168" s="1303"/>
      <c r="Q168" s="1303"/>
    </row>
    <row r="169" spans="1:17" s="1257" customFormat="1" ht="14.25">
      <c r="A169" s="1301"/>
      <c r="B169" s="1301"/>
      <c r="C169" s="1301"/>
      <c r="D169" s="1303"/>
      <c r="E169" s="1303"/>
      <c r="F169" s="1303"/>
      <c r="G169" s="1303"/>
      <c r="I169" s="1820"/>
      <c r="K169" s="1303"/>
      <c r="L169" s="1303"/>
      <c r="M169" s="1303"/>
      <c r="N169" s="1303"/>
      <c r="O169" s="1303"/>
      <c r="P169" s="1303"/>
      <c r="Q169" s="1303"/>
    </row>
    <row r="170" spans="1:17" s="1257" customFormat="1" ht="14.25">
      <c r="A170" s="1301"/>
      <c r="B170" s="1301"/>
      <c r="C170" s="1301"/>
      <c r="D170" s="1303"/>
      <c r="E170" s="1303"/>
      <c r="F170" s="1303"/>
      <c r="G170" s="1303"/>
      <c r="I170" s="1820"/>
      <c r="K170" s="1303"/>
      <c r="L170" s="1303"/>
      <c r="M170" s="1303"/>
      <c r="N170" s="1303"/>
      <c r="O170" s="1303"/>
      <c r="P170" s="1303"/>
      <c r="Q170" s="1303"/>
    </row>
    <row r="171" spans="1:17" s="1257" customFormat="1" ht="8.25" customHeight="1" thickBot="1">
      <c r="A171" s="1301"/>
      <c r="B171" s="1301"/>
      <c r="C171" s="1301"/>
      <c r="D171" s="1302"/>
      <c r="E171" s="1302"/>
      <c r="F171" s="1302"/>
      <c r="G171" s="1302"/>
      <c r="H171" s="1302"/>
      <c r="I171" s="1302"/>
      <c r="J171" s="1302"/>
      <c r="K171" s="1303"/>
      <c r="L171" s="1303"/>
      <c r="M171" s="1303"/>
      <c r="N171" s="1303"/>
      <c r="O171" s="1303"/>
      <c r="P171" s="1303"/>
      <c r="Q171" s="1303"/>
    </row>
    <row r="172" spans="1:17" s="1257" customFormat="1" ht="12.75" customHeight="1">
      <c r="A172" s="2959" t="s">
        <v>781</v>
      </c>
      <c r="B172" s="2960"/>
      <c r="C172" s="2960"/>
      <c r="D172" s="2960"/>
      <c r="E172" s="2960"/>
      <c r="F172" s="2960"/>
      <c r="G172" s="2960"/>
      <c r="H172" s="2960"/>
      <c r="I172" s="2960"/>
      <c r="J172" s="2960"/>
      <c r="K172" s="2960"/>
      <c r="L172" s="2960"/>
      <c r="M172" s="2961"/>
      <c r="N172" s="1368"/>
      <c r="O172" s="1368"/>
      <c r="P172" s="1368"/>
      <c r="Q172" s="1368"/>
    </row>
    <row r="173" spans="1:17" s="1257" customFormat="1" ht="13.5" thickBot="1">
      <c r="A173" s="2957"/>
      <c r="B173" s="2958"/>
      <c r="C173" s="2958"/>
      <c r="D173" s="2958"/>
      <c r="E173" s="2958"/>
      <c r="F173" s="2958"/>
      <c r="G173" s="2958"/>
      <c r="H173" s="2958"/>
      <c r="I173" s="2958"/>
      <c r="J173" s="2958"/>
      <c r="K173" s="2958"/>
      <c r="L173" s="2958"/>
      <c r="M173" s="2962"/>
      <c r="N173" s="1368"/>
      <c r="O173" s="1368"/>
      <c r="P173" s="1368"/>
      <c r="Q173" s="1368"/>
    </row>
    <row r="174" spans="1:17" s="1257" customFormat="1" ht="13.5" thickBot="1">
      <c r="A174" s="2966" t="s">
        <v>664</v>
      </c>
      <c r="B174" s="2967"/>
      <c r="C174" s="2985"/>
      <c r="D174" s="1380">
        <v>43101</v>
      </c>
      <c r="E174" s="1380">
        <v>43132</v>
      </c>
      <c r="F174" s="1380">
        <v>43160</v>
      </c>
      <c r="G174" s="1380">
        <v>43191</v>
      </c>
      <c r="H174" s="1380">
        <v>43221</v>
      </c>
      <c r="I174" s="1380">
        <v>43252</v>
      </c>
      <c r="J174" s="1388">
        <v>42917</v>
      </c>
      <c r="L174" s="1380">
        <v>43313</v>
      </c>
      <c r="M174" s="1380">
        <v>43344</v>
      </c>
    </row>
    <row r="175" spans="1:17" s="1257" customFormat="1" ht="14.25">
      <c r="A175" s="2974" t="s">
        <v>427</v>
      </c>
      <c r="B175" s="2975"/>
      <c r="C175" s="2986"/>
      <c r="D175" s="370">
        <f>+B104+E104+H104+J104</f>
        <v>4369.9984549999999</v>
      </c>
      <c r="E175" s="370">
        <f>+B105+E105+H105+J105</f>
        <v>4555.3430530000005</v>
      </c>
      <c r="F175" s="370">
        <f>+B106+E106+H106+J106</f>
        <v>5229.7991350000002</v>
      </c>
      <c r="G175" s="370">
        <f>+B107+E107+H107+J107</f>
        <v>4785.1342300000006</v>
      </c>
      <c r="H175" s="370">
        <f>+B108+E108+H108+J108</f>
        <v>4674.2939939999997</v>
      </c>
      <c r="I175" s="1383">
        <f>+B109+E109+H109+J109</f>
        <v>3423.3019289999997</v>
      </c>
      <c r="J175" s="1383">
        <f>+B110+E110+H110+J110</f>
        <v>3449.4879999999998</v>
      </c>
      <c r="K175" s="1389">
        <f>+C110+F110+I110+K110</f>
        <v>531.51600000000008</v>
      </c>
      <c r="L175" s="1389">
        <f>+B112+E112+H112+J112</f>
        <v>3075.1606040000001</v>
      </c>
      <c r="M175" s="1383"/>
    </row>
    <row r="176" spans="1:17" s="1257" customFormat="1" ht="14.25">
      <c r="A176" s="2963" t="s">
        <v>428</v>
      </c>
      <c r="B176" s="2964"/>
      <c r="C176" s="2965"/>
      <c r="D176" s="371">
        <f>+C104+G104</f>
        <v>323.08521000000002</v>
      </c>
      <c r="E176" s="371">
        <f>+C105+G105</f>
        <v>150.32225</v>
      </c>
      <c r="F176" s="371">
        <f>+C106+G106</f>
        <v>204.41521799999998</v>
      </c>
      <c r="G176" s="1649">
        <f>+C107+G107</f>
        <v>127.990375</v>
      </c>
      <c r="H176" s="1649">
        <f>+C108+G108</f>
        <v>434.01924999999994</v>
      </c>
      <c r="I176" s="1384">
        <f>+C109+G192</f>
        <v>387.00349999999997</v>
      </c>
      <c r="J176" s="1384">
        <f>+C110+G110</f>
        <v>845.08699999999999</v>
      </c>
      <c r="K176" s="1390">
        <f>+D110+H110</f>
        <v>464.05600000000004</v>
      </c>
      <c r="L176" s="1390">
        <f>+C112+G112</f>
        <v>700.31950000000006</v>
      </c>
      <c r="M176" s="1384"/>
    </row>
    <row r="177" spans="1:17" s="1257" customFormat="1" ht="14.25">
      <c r="A177" s="2963" t="s">
        <v>429</v>
      </c>
      <c r="B177" s="2964"/>
      <c r="C177" s="2965"/>
      <c r="D177" s="371">
        <f>+D104+F104+L104</f>
        <v>221.44885099999999</v>
      </c>
      <c r="E177" s="371">
        <f>+D105+F105+L105</f>
        <v>200.09142299999999</v>
      </c>
      <c r="F177" s="371">
        <f>+D106+F106+L106</f>
        <v>277.63405799999998</v>
      </c>
      <c r="G177" s="1649">
        <f>+D107+F107+L107</f>
        <v>269.77153199999998</v>
      </c>
      <c r="H177" s="1649">
        <f>+D108+F108+L108</f>
        <v>193.730819</v>
      </c>
      <c r="I177" s="1384">
        <f>+D109+F109+L109+I109</f>
        <v>143.89549899999997</v>
      </c>
      <c r="J177" s="1384">
        <f>+D110+F110+L110+I110</f>
        <v>165.78900000000002</v>
      </c>
      <c r="K177" s="1384">
        <f>+E110+G110+M110+J110</f>
        <v>7074.6319999999987</v>
      </c>
      <c r="L177" s="1384">
        <f>+D112+F112+I112+L112</f>
        <v>256.45348899999999</v>
      </c>
      <c r="M177" s="1384"/>
    </row>
    <row r="178" spans="1:17" s="1257" customFormat="1" ht="14.25">
      <c r="A178" s="2963" t="s">
        <v>430</v>
      </c>
      <c r="B178" s="2964"/>
      <c r="C178" s="2965"/>
      <c r="D178" s="299"/>
      <c r="E178" s="299"/>
      <c r="F178" s="371"/>
      <c r="G178" s="371"/>
      <c r="H178" s="1650"/>
      <c r="I178" s="1650"/>
      <c r="J178" s="1650"/>
      <c r="L178" s="1384"/>
      <c r="M178" s="1384"/>
    </row>
    <row r="179" spans="1:17" s="1257" customFormat="1" ht="14.25">
      <c r="A179" s="2963" t="s">
        <v>665</v>
      </c>
      <c r="B179" s="2964"/>
      <c r="C179" s="2965"/>
      <c r="D179" s="1647">
        <f>SUM(D175:D178)</f>
        <v>4914.5325160000002</v>
      </c>
      <c r="E179" s="1647">
        <f t="shared" ref="E179:J179" si="17">SUM(E175:E178)</f>
        <v>4905.7567260000005</v>
      </c>
      <c r="F179" s="1647">
        <f t="shared" si="17"/>
        <v>5711.8484109999999</v>
      </c>
      <c r="G179" s="1647">
        <f t="shared" si="17"/>
        <v>5182.8961370000006</v>
      </c>
      <c r="H179" s="1651">
        <f t="shared" si="17"/>
        <v>5302.0440630000003</v>
      </c>
      <c r="I179" s="1651">
        <f t="shared" si="17"/>
        <v>3954.2009279999993</v>
      </c>
      <c r="J179" s="1651">
        <f t="shared" si="17"/>
        <v>4460.3639999999996</v>
      </c>
      <c r="L179" s="1651">
        <f>SUM(L175:L178)</f>
        <v>4031.9335930000002</v>
      </c>
      <c r="M179" s="1651">
        <f>SUM(M175:M178)</f>
        <v>0</v>
      </c>
    </row>
    <row r="180" spans="1:17" s="1257" customFormat="1" ht="14.25">
      <c r="A180" s="2963" t="s">
        <v>666</v>
      </c>
      <c r="B180" s="2964"/>
      <c r="C180" s="2965"/>
      <c r="D180" s="1648">
        <f t="shared" ref="D180:I180" si="18">SUM(D176:D178)/D179</f>
        <v>0.11080078506494513</v>
      </c>
      <c r="E180" s="1648">
        <f t="shared" si="18"/>
        <v>7.1429076607660541E-2</v>
      </c>
      <c r="F180" s="1648">
        <f t="shared" si="18"/>
        <v>8.4394619974798205E-2</v>
      </c>
      <c r="G180" s="1648">
        <f t="shared" si="18"/>
        <v>7.6745104761106644E-2</v>
      </c>
      <c r="H180" s="1648">
        <f t="shared" si="18"/>
        <v>0.11839774651831292</v>
      </c>
      <c r="I180" s="1648">
        <f t="shared" si="18"/>
        <v>0.13426201871550419</v>
      </c>
      <c r="J180" s="1648">
        <f t="shared" ref="J180:L180" si="19">SUM(J176:J178)/J179</f>
        <v>0.22663531496532571</v>
      </c>
      <c r="K180" s="1648" t="e">
        <f t="shared" si="19"/>
        <v>#DIV/0!</v>
      </c>
      <c r="L180" s="1648">
        <f t="shared" si="19"/>
        <v>0.2372987964536647</v>
      </c>
      <c r="M180" s="1654"/>
    </row>
    <row r="181" spans="1:17" s="1257" customFormat="1" ht="15" thickBot="1">
      <c r="A181" s="2971" t="s">
        <v>667</v>
      </c>
      <c r="B181" s="2972"/>
      <c r="C181" s="2984"/>
      <c r="D181" s="1381">
        <f t="shared" ref="D181:I181" si="20">D175/D179</f>
        <v>0.88919921493505483</v>
      </c>
      <c r="E181" s="1381">
        <f t="shared" si="20"/>
        <v>0.92857092339233949</v>
      </c>
      <c r="F181" s="1381">
        <f t="shared" si="20"/>
        <v>0.91560538002520186</v>
      </c>
      <c r="G181" s="1381">
        <f t="shared" si="20"/>
        <v>0.92325489523889337</v>
      </c>
      <c r="H181" s="1381">
        <f t="shared" si="20"/>
        <v>0.88160225348168697</v>
      </c>
      <c r="I181" s="1381">
        <f t="shared" si="20"/>
        <v>0.86573798128449586</v>
      </c>
      <c r="J181" s="1381">
        <f t="shared" ref="J181:L181" si="21">J175/J179</f>
        <v>0.77336468503467437</v>
      </c>
      <c r="K181" s="1381" t="e">
        <f t="shared" si="21"/>
        <v>#DIV/0!</v>
      </c>
      <c r="L181" s="1381">
        <f t="shared" si="21"/>
        <v>0.7627012035463353</v>
      </c>
      <c r="M181" s="1394"/>
    </row>
    <row r="182" spans="1:17" s="1257" customFormat="1" ht="15" thickBot="1">
      <c r="A182" s="1301"/>
      <c r="B182" s="1301"/>
      <c r="C182" s="1301"/>
      <c r="D182" s="1380">
        <v>43374</v>
      </c>
      <c r="E182" s="1380">
        <v>43405</v>
      </c>
      <c r="F182" s="1380">
        <v>43435</v>
      </c>
      <c r="G182" s="1382" t="s">
        <v>214</v>
      </c>
      <c r="H182" s="1302"/>
      <c r="I182" s="1302"/>
      <c r="J182" s="1302"/>
      <c r="K182" s="1303"/>
      <c r="L182" s="1303"/>
      <c r="M182" s="1303"/>
      <c r="N182" s="1303"/>
      <c r="O182" s="1303"/>
      <c r="P182" s="1303"/>
      <c r="Q182" s="1303"/>
    </row>
    <row r="183" spans="1:17" ht="14.25">
      <c r="D183" s="1655"/>
      <c r="E183" s="1655"/>
      <c r="F183" s="1655"/>
      <c r="G183" s="1656">
        <f>SUM(D175:M175)+SUM(D183:F183)</f>
        <v>34094.035400000001</v>
      </c>
    </row>
    <row r="184" spans="1:17" ht="14.25">
      <c r="D184" s="1384"/>
      <c r="E184" s="1384"/>
      <c r="F184" s="1384"/>
      <c r="G184" s="1656">
        <f>SUM(D176:M176)+SUM(D184:F184)</f>
        <v>3636.298303</v>
      </c>
    </row>
    <row r="185" spans="1:17" ht="14.25">
      <c r="D185" s="1384"/>
      <c r="E185" s="1384"/>
      <c r="F185" s="1384"/>
      <c r="G185" s="1656">
        <f>SUM(D177:M177)+SUM(D185:F185)</f>
        <v>8803.4466709999979</v>
      </c>
      <c r="H185" s="1122"/>
      <c r="I185" s="1122"/>
      <c r="J185" s="1122"/>
    </row>
    <row r="186" spans="1:17" ht="14.25">
      <c r="D186" s="1384"/>
      <c r="E186" s="1384"/>
      <c r="F186" s="1384"/>
      <c r="G186" s="1378">
        <f>SUM(D178:O178)</f>
        <v>0</v>
      </c>
      <c r="H186" s="1122"/>
      <c r="I186" s="1122"/>
      <c r="J186" s="1122"/>
    </row>
    <row r="187" spans="1:17" ht="14.25">
      <c r="D187" s="1651">
        <f>SUM(D183:D186)</f>
        <v>0</v>
      </c>
      <c r="E187" s="1651">
        <f>SUM(E183:E186)</f>
        <v>0</v>
      </c>
      <c r="F187" s="1651">
        <f>SUM(F183:F186)</f>
        <v>0</v>
      </c>
      <c r="G187" s="1652">
        <f>SUM(G183:G186)</f>
        <v>46533.780374000002</v>
      </c>
      <c r="H187" s="1122"/>
      <c r="I187" s="1122"/>
      <c r="J187" s="1122"/>
      <c r="N187" s="111"/>
    </row>
    <row r="188" spans="1:17" ht="14.25">
      <c r="D188" s="1654"/>
      <c r="E188" s="1654"/>
      <c r="F188" s="1654"/>
      <c r="G188" s="1653">
        <f>SUM(G184:G186)/G187</f>
        <v>0.26732719486832202</v>
      </c>
      <c r="H188" s="32"/>
      <c r="I188" s="32"/>
      <c r="J188" s="32"/>
    </row>
    <row r="189" spans="1:17" ht="15" thickBot="1">
      <c r="D189" s="1394"/>
      <c r="E189" s="1394"/>
      <c r="F189" s="1394"/>
      <c r="G189" s="1387">
        <f>G183/G187</f>
        <v>0.73267280513167787</v>
      </c>
      <c r="O189" s="111"/>
    </row>
    <row r="193" spans="8:9">
      <c r="H193" s="644"/>
      <c r="I193" s="644"/>
    </row>
    <row r="456" spans="1:14" s="4" customFormat="1">
      <c r="A456" s="97"/>
      <c r="B456" s="42"/>
      <c r="C456" s="379"/>
      <c r="D456" s="42"/>
      <c r="E456" s="42"/>
      <c r="F456" s="42"/>
      <c r="G456" s="42"/>
      <c r="H456" s="42"/>
      <c r="I456" s="42"/>
      <c r="J456" s="42"/>
      <c r="K456" s="42"/>
      <c r="L456" s="42"/>
      <c r="M456" s="42"/>
      <c r="N456" s="42"/>
    </row>
    <row r="457" spans="1:14" s="4" customFormat="1">
      <c r="A457" s="51"/>
      <c r="C457" s="374"/>
      <c r="I457" s="1830"/>
    </row>
    <row r="458" spans="1:14" s="4" customFormat="1">
      <c r="A458" s="51"/>
      <c r="C458" s="374"/>
      <c r="I458" s="1830"/>
    </row>
    <row r="459" spans="1:14" s="4" customFormat="1">
      <c r="A459" s="51"/>
      <c r="C459" s="374"/>
      <c r="I459" s="1830"/>
    </row>
    <row r="460" spans="1:14" s="4" customFormat="1">
      <c r="A460" s="51"/>
      <c r="C460" s="374"/>
      <c r="I460" s="1830"/>
    </row>
    <row r="461" spans="1:14" s="4" customFormat="1">
      <c r="A461" s="51"/>
      <c r="C461" s="374"/>
      <c r="I461" s="1830"/>
    </row>
    <row r="462" spans="1:14" s="4" customFormat="1">
      <c r="A462" s="51"/>
      <c r="C462" s="374"/>
      <c r="I462" s="1830"/>
    </row>
    <row r="463" spans="1:14" s="4" customFormat="1">
      <c r="A463" s="51"/>
      <c r="C463" s="374"/>
      <c r="I463" s="1830"/>
    </row>
    <row r="464" spans="1:14" s="4" customFormat="1">
      <c r="A464" s="51"/>
      <c r="C464" s="374"/>
      <c r="I464" s="1830"/>
    </row>
    <row r="465" spans="1:14" s="4" customFormat="1">
      <c r="A465" s="51"/>
      <c r="C465" s="374"/>
      <c r="I465" s="1830"/>
    </row>
    <row r="466" spans="1:14" s="4" customFormat="1">
      <c r="A466" s="51"/>
      <c r="C466" s="374"/>
      <c r="I466" s="1830"/>
    </row>
    <row r="467" spans="1:14" s="4" customFormat="1">
      <c r="A467" s="51"/>
      <c r="C467" s="374"/>
      <c r="I467" s="1830"/>
    </row>
    <row r="468" spans="1:14" s="4" customFormat="1">
      <c r="A468" s="51"/>
      <c r="C468" s="374"/>
      <c r="I468" s="1830"/>
    </row>
    <row r="469" spans="1:14" s="4" customFormat="1">
      <c r="A469" s="51"/>
      <c r="C469" s="374"/>
      <c r="I469" s="1830"/>
    </row>
    <row r="470" spans="1:14" s="4" customFormat="1">
      <c r="A470" s="51"/>
      <c r="C470" s="374"/>
      <c r="I470" s="1830"/>
    </row>
    <row r="471" spans="1:14" s="4" customFormat="1">
      <c r="A471" s="51"/>
      <c r="C471" s="374"/>
      <c r="I471" s="1830"/>
    </row>
    <row r="472" spans="1:14" s="4" customFormat="1">
      <c r="A472" s="51"/>
      <c r="C472" s="374"/>
      <c r="I472" s="1830"/>
    </row>
    <row r="473" spans="1:14" s="4" customFormat="1">
      <c r="A473" s="51"/>
      <c r="C473" s="374"/>
      <c r="I473" s="1830"/>
    </row>
    <row r="474" spans="1:14" s="4" customFormat="1">
      <c r="A474" s="51"/>
      <c r="C474" s="374"/>
      <c r="I474" s="1830"/>
    </row>
    <row r="475" spans="1:14" s="4" customFormat="1">
      <c r="A475" s="51"/>
      <c r="C475" s="374"/>
      <c r="I475" s="1830"/>
    </row>
    <row r="476" spans="1:14" s="4" customFormat="1">
      <c r="A476" s="53"/>
      <c r="B476" s="40"/>
      <c r="C476" s="380"/>
      <c r="D476" s="40"/>
      <c r="E476" s="40"/>
      <c r="F476" s="40"/>
      <c r="G476" s="40"/>
      <c r="H476" s="40"/>
      <c r="I476" s="40"/>
      <c r="J476" s="40"/>
      <c r="K476" s="40"/>
      <c r="L476" s="40"/>
      <c r="M476" s="40"/>
      <c r="N476" s="40"/>
    </row>
  </sheetData>
  <mergeCells count="36">
    <mergeCell ref="A11:M11"/>
    <mergeCell ref="A1:M1"/>
    <mergeCell ref="A8:B8"/>
    <mergeCell ref="A7:B7"/>
    <mergeCell ref="A6:B6"/>
    <mergeCell ref="A5:B5"/>
    <mergeCell ref="A4:B4"/>
    <mergeCell ref="A3:B3"/>
    <mergeCell ref="A2:B2"/>
    <mergeCell ref="C2:L2"/>
    <mergeCell ref="C8:M8"/>
    <mergeCell ref="W120:W121"/>
    <mergeCell ref="X120:X121"/>
    <mergeCell ref="R120:R121"/>
    <mergeCell ref="S120:S121"/>
    <mergeCell ref="T120:T121"/>
    <mergeCell ref="U120:U121"/>
    <mergeCell ref="V120:V121"/>
    <mergeCell ref="A181:C181"/>
    <mergeCell ref="A174:C174"/>
    <mergeCell ref="A175:C175"/>
    <mergeCell ref="A176:C176"/>
    <mergeCell ref="A177:C177"/>
    <mergeCell ref="A150:M151"/>
    <mergeCell ref="A172:M173"/>
    <mergeCell ref="A178:C178"/>
    <mergeCell ref="A179:C179"/>
    <mergeCell ref="A180:C180"/>
    <mergeCell ref="A152:C152"/>
    <mergeCell ref="A158:C158"/>
    <mergeCell ref="A159:C159"/>
    <mergeCell ref="A153:C153"/>
    <mergeCell ref="A154:C154"/>
    <mergeCell ref="A155:C155"/>
    <mergeCell ref="A156:C156"/>
    <mergeCell ref="A157:C157"/>
  </mergeCells>
  <printOptions horizontalCentered="1" verticalCentered="1"/>
  <pageMargins left="0.39370078740157483" right="0.39370078740157483" top="0.39370078740157483" bottom="0.19685039370078741" header="0.31496062992125984" footer="0.31496062992125984"/>
  <pageSetup paperSize="9" scale="92" fitToHeight="0" orientation="landscape" r:id="rId1"/>
  <rowBreaks count="2" manualBreakCount="2">
    <brk id="129" max="11" man="1"/>
    <brk id="168" max="11" man="1"/>
  </rowBreaks>
  <ignoredErrors>
    <ignoredError sqref="N72 N70 M13:M24 D157:F158 M91:M96 I179 D187:F187 H179" formulaRange="1"/>
    <ignoredError sqref="M52:M63 M47:M50 M26:M37" formula="1" formulaRange="1"/>
    <ignoredError sqref="M25 M38:M46 M51 M64 D103"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4"/>
  <dimension ref="A1:BM228"/>
  <sheetViews>
    <sheetView showRowColHeaders="0" view="pageBreakPreview" zoomScale="85" zoomScaleNormal="85" zoomScaleSheetLayoutView="85" workbookViewId="0">
      <selection activeCell="S37" sqref="S37"/>
    </sheetView>
  </sheetViews>
  <sheetFormatPr baseColWidth="10" defaultColWidth="12" defaultRowHeight="9.9499999999999993" customHeight="1"/>
  <cols>
    <col min="1" max="11" width="12" style="490"/>
    <col min="12" max="12" width="13.33203125" style="490" customWidth="1"/>
    <col min="13" max="16384" width="12" style="490"/>
  </cols>
  <sheetData>
    <row r="1" spans="1:65" ht="9.9499999999999993" customHeight="1">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row>
    <row r="2" spans="1:65" ht="9.9499999999999993" customHeight="1">
      <c r="A2" s="505"/>
      <c r="B2" s="486"/>
      <c r="C2" s="487"/>
      <c r="D2" s="487"/>
      <c r="E2" s="487"/>
      <c r="F2" s="488"/>
      <c r="G2" s="487"/>
      <c r="H2" s="487"/>
      <c r="I2" s="487"/>
      <c r="J2" s="487"/>
      <c r="K2" s="489"/>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row>
    <row r="3" spans="1:65" ht="9.9499999999999993" customHeight="1">
      <c r="A3" s="505"/>
      <c r="B3" s="486"/>
      <c r="C3" s="487"/>
      <c r="D3" s="487"/>
      <c r="E3" s="487"/>
      <c r="F3" s="488"/>
      <c r="G3" s="487"/>
      <c r="H3" s="487"/>
      <c r="I3" s="487"/>
      <c r="J3" s="487"/>
      <c r="K3" s="489"/>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row>
    <row r="4" spans="1:65" ht="9.9499999999999993" customHeight="1">
      <c r="A4" s="505"/>
      <c r="B4" s="486"/>
      <c r="C4" s="487"/>
      <c r="D4" s="487"/>
      <c r="E4" s="487"/>
      <c r="F4" s="488"/>
      <c r="G4" s="487"/>
      <c r="H4" s="487"/>
      <c r="I4" s="487"/>
      <c r="J4" s="487"/>
      <c r="K4" s="489"/>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row>
    <row r="5" spans="1:65" ht="9.9499999999999993" customHeight="1">
      <c r="A5" s="505"/>
      <c r="B5" s="486"/>
      <c r="C5" s="487"/>
      <c r="D5" s="487"/>
      <c r="E5" s="487"/>
      <c r="F5" s="488"/>
      <c r="G5" s="487"/>
      <c r="H5" s="487"/>
      <c r="I5" s="487"/>
      <c r="J5" s="487"/>
      <c r="K5" s="489"/>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row>
    <row r="6" spans="1:65" ht="9.9499999999999993" customHeight="1" thickBot="1">
      <c r="A6" s="505"/>
      <c r="B6" s="491"/>
      <c r="C6" s="492"/>
      <c r="D6" s="492"/>
      <c r="E6" s="492"/>
      <c r="F6" s="493"/>
      <c r="G6" s="487"/>
      <c r="H6" s="487"/>
      <c r="I6" s="487"/>
      <c r="J6" s="487"/>
      <c r="K6" s="489"/>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row>
    <row r="7" spans="1:65" ht="9.9499999999999993" customHeight="1">
      <c r="A7" s="505"/>
      <c r="B7" s="494"/>
      <c r="C7" s="487"/>
      <c r="D7" s="487"/>
      <c r="E7" s="487"/>
      <c r="F7" s="489"/>
      <c r="G7" s="487"/>
      <c r="H7" s="487"/>
      <c r="I7" s="487"/>
      <c r="J7" s="487"/>
      <c r="K7" s="489"/>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row>
    <row r="8" spans="1:65" ht="9.9499999999999993" customHeight="1">
      <c r="A8" s="505"/>
      <c r="B8" s="494"/>
      <c r="C8" s="487"/>
      <c r="D8" s="487"/>
      <c r="E8" s="487"/>
      <c r="F8" s="489"/>
      <c r="G8" s="487"/>
      <c r="H8" s="487"/>
      <c r="I8" s="487"/>
      <c r="J8" s="487"/>
      <c r="K8" s="489"/>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5"/>
      <c r="AZ8" s="505"/>
      <c r="BA8" s="505"/>
      <c r="BB8" s="505"/>
      <c r="BC8" s="505"/>
      <c r="BD8" s="505"/>
      <c r="BE8" s="505"/>
      <c r="BF8" s="505"/>
      <c r="BG8" s="505"/>
      <c r="BH8" s="505"/>
      <c r="BI8" s="505"/>
      <c r="BJ8" s="505"/>
      <c r="BK8" s="505"/>
      <c r="BL8" s="505"/>
      <c r="BM8" s="505"/>
    </row>
    <row r="9" spans="1:65" ht="9.9499999999999993" customHeight="1">
      <c r="A9" s="505"/>
      <c r="B9" s="494"/>
      <c r="C9" s="487"/>
      <c r="D9" s="487"/>
      <c r="E9" s="487"/>
      <c r="F9" s="489"/>
      <c r="G9" s="487"/>
      <c r="H9" s="487"/>
      <c r="I9" s="487"/>
      <c r="J9" s="487"/>
      <c r="K9" s="489"/>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row>
    <row r="10" spans="1:65" ht="9.9499999999999993" customHeight="1">
      <c r="A10" s="505"/>
      <c r="B10" s="494"/>
      <c r="C10" s="487"/>
      <c r="D10" s="487"/>
      <c r="E10" s="487"/>
      <c r="F10" s="489"/>
      <c r="G10" s="487"/>
      <c r="H10" s="487"/>
      <c r="I10" s="487"/>
      <c r="J10" s="487"/>
      <c r="K10" s="489"/>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row>
    <row r="11" spans="1:65" ht="9.9499999999999993" customHeight="1">
      <c r="A11" s="505"/>
      <c r="B11" s="494"/>
      <c r="C11" s="487"/>
      <c r="D11" s="487"/>
      <c r="E11" s="487"/>
      <c r="F11" s="489"/>
      <c r="G11" s="487"/>
      <c r="H11" s="487"/>
      <c r="I11" s="487"/>
      <c r="J11" s="487"/>
      <c r="K11" s="489"/>
      <c r="L11" s="505"/>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row>
    <row r="12" spans="1:65" ht="9.9499999999999993" customHeight="1">
      <c r="A12" s="505"/>
      <c r="B12" s="494"/>
      <c r="C12" s="487"/>
      <c r="D12" s="487"/>
      <c r="E12" s="487"/>
      <c r="F12" s="489"/>
      <c r="G12" s="487"/>
      <c r="H12" s="487"/>
      <c r="I12" s="487"/>
      <c r="J12" s="487"/>
      <c r="K12" s="489"/>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row>
    <row r="13" spans="1:65" ht="9.9499999999999993" customHeight="1">
      <c r="A13" s="505"/>
      <c r="B13" s="494"/>
      <c r="C13" s="487"/>
      <c r="D13" s="487"/>
      <c r="E13" s="487"/>
      <c r="F13" s="489"/>
      <c r="G13" s="487"/>
      <c r="H13" s="487"/>
      <c r="I13" s="487"/>
      <c r="J13" s="487"/>
      <c r="K13" s="489"/>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c r="AO13" s="505"/>
      <c r="AP13" s="505"/>
      <c r="AQ13" s="505"/>
      <c r="AR13" s="505"/>
      <c r="AS13" s="505"/>
      <c r="AT13" s="505"/>
      <c r="AU13" s="505"/>
      <c r="AV13" s="505"/>
      <c r="AW13" s="505"/>
      <c r="AX13" s="505"/>
      <c r="AY13" s="505"/>
      <c r="AZ13" s="505"/>
      <c r="BA13" s="505"/>
      <c r="BB13" s="505"/>
      <c r="BC13" s="505"/>
      <c r="BD13" s="505"/>
      <c r="BE13" s="505"/>
      <c r="BF13" s="505"/>
      <c r="BG13" s="505"/>
      <c r="BH13" s="505"/>
      <c r="BI13" s="505"/>
      <c r="BJ13" s="505"/>
      <c r="BK13" s="505"/>
      <c r="BL13" s="505"/>
      <c r="BM13" s="505"/>
    </row>
    <row r="14" spans="1:65" ht="9.9499999999999993" customHeight="1">
      <c r="A14" s="505"/>
      <c r="B14" s="494"/>
      <c r="C14" s="487"/>
      <c r="D14" s="487"/>
      <c r="E14" s="487"/>
      <c r="F14" s="489"/>
      <c r="G14" s="487"/>
      <c r="H14" s="487"/>
      <c r="I14" s="487"/>
      <c r="J14" s="487"/>
      <c r="K14" s="489"/>
      <c r="L14" s="505"/>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row>
    <row r="15" spans="1:65" ht="9.9499999999999993" customHeight="1">
      <c r="A15" s="505"/>
      <c r="B15" s="494"/>
      <c r="C15" s="487"/>
      <c r="D15" s="487"/>
      <c r="E15" s="487"/>
      <c r="F15" s="489"/>
      <c r="G15" s="487"/>
      <c r="H15" s="487"/>
      <c r="I15" s="487"/>
      <c r="J15" s="487"/>
      <c r="K15" s="489"/>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c r="AL15" s="505"/>
      <c r="AM15" s="505"/>
      <c r="AN15" s="505"/>
      <c r="AO15" s="505"/>
      <c r="AP15" s="505"/>
      <c r="AQ15" s="505"/>
      <c r="AR15" s="505"/>
      <c r="AS15" s="505"/>
      <c r="AT15" s="505"/>
      <c r="AU15" s="505"/>
      <c r="AV15" s="505"/>
      <c r="AW15" s="505"/>
      <c r="AX15" s="505"/>
      <c r="AY15" s="505"/>
      <c r="AZ15" s="505"/>
      <c r="BA15" s="505"/>
      <c r="BB15" s="505"/>
      <c r="BC15" s="505"/>
      <c r="BD15" s="505"/>
      <c r="BE15" s="505"/>
      <c r="BF15" s="505"/>
      <c r="BG15" s="505"/>
      <c r="BH15" s="505"/>
      <c r="BI15" s="505"/>
      <c r="BJ15" s="505"/>
      <c r="BK15" s="505"/>
      <c r="BL15" s="505"/>
      <c r="BM15" s="505"/>
    </row>
    <row r="16" spans="1:65" ht="9.9499999999999993" customHeight="1">
      <c r="A16" s="505"/>
      <c r="B16" s="494"/>
      <c r="C16" s="487"/>
      <c r="D16" s="487"/>
      <c r="E16" s="487"/>
      <c r="F16" s="489"/>
      <c r="G16" s="487"/>
      <c r="H16" s="487"/>
      <c r="I16" s="487"/>
      <c r="J16" s="487"/>
      <c r="K16" s="489"/>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505"/>
      <c r="AZ16" s="505"/>
      <c r="BA16" s="505"/>
      <c r="BB16" s="505"/>
      <c r="BC16" s="505"/>
      <c r="BD16" s="505"/>
      <c r="BE16" s="505"/>
      <c r="BF16" s="505"/>
      <c r="BG16" s="505"/>
      <c r="BH16" s="505"/>
      <c r="BI16" s="505"/>
      <c r="BJ16" s="505"/>
      <c r="BK16" s="505"/>
      <c r="BL16" s="505"/>
      <c r="BM16" s="505"/>
    </row>
    <row r="17" spans="1:65" ht="9.9499999999999993" customHeight="1">
      <c r="A17" s="505"/>
      <c r="B17" s="494"/>
      <c r="C17" s="487"/>
      <c r="D17" s="487"/>
      <c r="E17" s="487"/>
      <c r="F17" s="489"/>
      <c r="G17" s="487"/>
      <c r="H17" s="487"/>
      <c r="I17" s="487"/>
      <c r="J17" s="487"/>
      <c r="K17" s="489"/>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c r="AL17" s="505"/>
      <c r="AM17" s="505"/>
      <c r="AN17" s="505"/>
      <c r="AO17" s="505"/>
      <c r="AP17" s="505"/>
      <c r="AQ17" s="505"/>
      <c r="AR17" s="505"/>
      <c r="AS17" s="505"/>
      <c r="AT17" s="505"/>
      <c r="AU17" s="505"/>
      <c r="AV17" s="505"/>
      <c r="AW17" s="505"/>
      <c r="AX17" s="505"/>
      <c r="AY17" s="505"/>
      <c r="AZ17" s="505"/>
      <c r="BA17" s="505"/>
      <c r="BB17" s="505"/>
      <c r="BC17" s="505"/>
      <c r="BD17" s="505"/>
      <c r="BE17" s="505"/>
      <c r="BF17" s="505"/>
      <c r="BG17" s="505"/>
      <c r="BH17" s="505"/>
      <c r="BI17" s="505"/>
      <c r="BJ17" s="505"/>
      <c r="BK17" s="505"/>
      <c r="BL17" s="505"/>
      <c r="BM17" s="505"/>
    </row>
    <row r="18" spans="1:65" ht="9.9499999999999993" customHeight="1">
      <c r="A18" s="505"/>
      <c r="B18" s="494"/>
      <c r="C18" s="487"/>
      <c r="D18" s="487"/>
      <c r="E18" s="487"/>
      <c r="F18" s="489"/>
      <c r="G18" s="487"/>
      <c r="H18" s="487"/>
      <c r="I18" s="487"/>
      <c r="J18" s="487"/>
      <c r="K18" s="489"/>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c r="BE18" s="505"/>
      <c r="BF18" s="505"/>
      <c r="BG18" s="505"/>
      <c r="BH18" s="505"/>
      <c r="BI18" s="505"/>
      <c r="BJ18" s="505"/>
      <c r="BK18" s="505"/>
      <c r="BL18" s="505"/>
      <c r="BM18" s="505"/>
    </row>
    <row r="19" spans="1:65" ht="9.9499999999999993" customHeight="1">
      <c r="A19" s="505"/>
      <c r="B19" s="494"/>
      <c r="C19" s="487"/>
      <c r="D19" s="487"/>
      <c r="E19" s="487"/>
      <c r="F19" s="489"/>
      <c r="G19" s="487"/>
      <c r="H19" s="487"/>
      <c r="I19" s="487"/>
      <c r="J19" s="487"/>
      <c r="K19" s="489"/>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5"/>
      <c r="AY19" s="505"/>
      <c r="AZ19" s="505"/>
      <c r="BA19" s="505"/>
      <c r="BB19" s="505"/>
      <c r="BC19" s="505"/>
      <c r="BD19" s="505"/>
      <c r="BE19" s="505"/>
      <c r="BF19" s="505"/>
      <c r="BG19" s="505"/>
      <c r="BH19" s="505"/>
      <c r="BI19" s="505"/>
      <c r="BJ19" s="505"/>
      <c r="BK19" s="505"/>
      <c r="BL19" s="505"/>
      <c r="BM19" s="505"/>
    </row>
    <row r="20" spans="1:65" ht="9.9499999999999993" customHeight="1">
      <c r="A20" s="505"/>
      <c r="B20" s="494"/>
      <c r="C20" s="487"/>
      <c r="D20" s="487"/>
      <c r="E20" s="487"/>
      <c r="F20" s="489"/>
      <c r="G20" s="487"/>
      <c r="H20" s="487"/>
      <c r="I20" s="487"/>
      <c r="J20" s="487"/>
      <c r="K20" s="489"/>
      <c r="L20" s="505"/>
      <c r="M20" s="505"/>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505"/>
      <c r="AM20" s="505"/>
      <c r="AN20" s="505"/>
      <c r="AO20" s="505"/>
      <c r="AP20" s="505"/>
      <c r="AQ20" s="505"/>
      <c r="AR20" s="505"/>
      <c r="AS20" s="505"/>
      <c r="AT20" s="505"/>
      <c r="AU20" s="505"/>
      <c r="AV20" s="505"/>
      <c r="AW20" s="505"/>
      <c r="AX20" s="505"/>
      <c r="AY20" s="505"/>
      <c r="AZ20" s="505"/>
      <c r="BA20" s="505"/>
      <c r="BB20" s="505"/>
      <c r="BC20" s="505"/>
      <c r="BD20" s="505"/>
      <c r="BE20" s="505"/>
      <c r="BF20" s="505"/>
      <c r="BG20" s="505"/>
      <c r="BH20" s="505"/>
      <c r="BI20" s="505"/>
      <c r="BJ20" s="505"/>
      <c r="BK20" s="505"/>
      <c r="BL20" s="505"/>
      <c r="BM20" s="505"/>
    </row>
    <row r="21" spans="1:65" ht="9.9499999999999993" customHeight="1">
      <c r="A21" s="505"/>
      <c r="B21" s="494"/>
      <c r="C21" s="487"/>
      <c r="D21" s="487"/>
      <c r="E21" s="487"/>
      <c r="F21" s="489"/>
      <c r="G21" s="487"/>
      <c r="H21" s="487"/>
      <c r="I21" s="487"/>
      <c r="J21" s="487"/>
      <c r="K21" s="489"/>
      <c r="L21" s="505"/>
      <c r="M21" s="505"/>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c r="BC21" s="505"/>
      <c r="BD21" s="505"/>
      <c r="BE21" s="505"/>
      <c r="BF21" s="505"/>
      <c r="BG21" s="505"/>
      <c r="BH21" s="505"/>
      <c r="BI21" s="505"/>
      <c r="BJ21" s="505"/>
      <c r="BK21" s="505"/>
      <c r="BL21" s="505"/>
      <c r="BM21" s="505"/>
    </row>
    <row r="22" spans="1:65" ht="9.9499999999999993" customHeight="1">
      <c r="A22" s="505"/>
      <c r="B22" s="494"/>
      <c r="C22" s="487"/>
      <c r="D22" s="487"/>
      <c r="E22" s="487"/>
      <c r="F22" s="489"/>
      <c r="G22" s="487"/>
      <c r="H22" s="487"/>
      <c r="I22" s="487"/>
      <c r="J22" s="487"/>
      <c r="K22" s="489"/>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5"/>
      <c r="AY22" s="505"/>
      <c r="AZ22" s="505"/>
      <c r="BA22" s="505"/>
      <c r="BB22" s="505"/>
      <c r="BC22" s="505"/>
      <c r="BD22" s="505"/>
      <c r="BE22" s="505"/>
      <c r="BF22" s="505"/>
      <c r="BG22" s="505"/>
      <c r="BH22" s="505"/>
      <c r="BI22" s="505"/>
      <c r="BJ22" s="505"/>
      <c r="BK22" s="505"/>
      <c r="BL22" s="505"/>
      <c r="BM22" s="505"/>
    </row>
    <row r="23" spans="1:65" ht="9.9499999999999993" customHeight="1">
      <c r="A23" s="505"/>
      <c r="B23" s="494"/>
      <c r="C23" s="487"/>
      <c r="D23" s="487"/>
      <c r="E23" s="487"/>
      <c r="F23" s="489"/>
      <c r="G23" s="487"/>
      <c r="H23" s="487"/>
      <c r="I23" s="487"/>
      <c r="J23" s="487"/>
      <c r="K23" s="489"/>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c r="BE23" s="505"/>
      <c r="BF23" s="505"/>
      <c r="BG23" s="505"/>
      <c r="BH23" s="505"/>
      <c r="BI23" s="505"/>
      <c r="BJ23" s="505"/>
      <c r="BK23" s="505"/>
      <c r="BL23" s="505"/>
      <c r="BM23" s="505"/>
    </row>
    <row r="24" spans="1:65" ht="9.9499999999999993" customHeight="1">
      <c r="A24" s="505"/>
      <c r="B24" s="494"/>
      <c r="C24" s="487"/>
      <c r="D24" s="487"/>
      <c r="E24" s="487"/>
      <c r="F24" s="489"/>
      <c r="G24" s="487"/>
      <c r="H24" s="487"/>
      <c r="I24" s="487"/>
      <c r="J24" s="487"/>
      <c r="K24" s="489"/>
      <c r="L24" s="505"/>
      <c r="M24" s="505"/>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505"/>
      <c r="AW24" s="505"/>
      <c r="AX24" s="505"/>
      <c r="AY24" s="505"/>
      <c r="AZ24" s="505"/>
      <c r="BA24" s="505"/>
      <c r="BB24" s="505"/>
      <c r="BC24" s="505"/>
      <c r="BD24" s="505"/>
      <c r="BE24" s="505"/>
      <c r="BF24" s="505"/>
      <c r="BG24" s="505"/>
      <c r="BH24" s="505"/>
      <c r="BI24" s="505"/>
      <c r="BJ24" s="505"/>
      <c r="BK24" s="505"/>
      <c r="BL24" s="505"/>
      <c r="BM24" s="505"/>
    </row>
    <row r="25" spans="1:65" ht="9.9499999999999993" customHeight="1">
      <c r="A25" s="505"/>
      <c r="B25" s="494"/>
      <c r="C25" s="487"/>
      <c r="D25" s="487"/>
      <c r="E25" s="487"/>
      <c r="F25" s="489"/>
      <c r="G25" s="487"/>
      <c r="H25" s="487"/>
      <c r="I25" s="487"/>
      <c r="J25" s="487"/>
      <c r="K25" s="489"/>
      <c r="L25" s="505"/>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c r="BE25" s="505"/>
      <c r="BF25" s="505"/>
      <c r="BG25" s="505"/>
      <c r="BH25" s="505"/>
      <c r="BI25" s="505"/>
      <c r="BJ25" s="505"/>
      <c r="BK25" s="505"/>
      <c r="BL25" s="505"/>
      <c r="BM25" s="505"/>
    </row>
    <row r="26" spans="1:65" ht="9.9499999999999993" customHeight="1">
      <c r="A26" s="505"/>
      <c r="B26" s="494"/>
      <c r="C26" s="487"/>
      <c r="D26" s="487"/>
      <c r="E26" s="487"/>
      <c r="F26" s="489"/>
      <c r="G26" s="487"/>
      <c r="H26" s="487"/>
      <c r="I26" s="487"/>
      <c r="J26" s="487"/>
      <c r="K26" s="489"/>
      <c r="L26" s="505"/>
      <c r="M26" s="505"/>
      <c r="N26" s="505"/>
      <c r="O26" s="505"/>
      <c r="P26" s="505"/>
      <c r="Q26" s="505"/>
      <c r="R26" s="505"/>
      <c r="S26" s="505"/>
      <c r="T26" s="505"/>
      <c r="U26" s="505"/>
      <c r="V26" s="505"/>
      <c r="W26" s="505"/>
      <c r="X26" s="505"/>
      <c r="Y26" s="505"/>
      <c r="Z26" s="505"/>
      <c r="AA26" s="505"/>
      <c r="AB26" s="505"/>
      <c r="AC26" s="505"/>
      <c r="AD26" s="505"/>
      <c r="AE26" s="505"/>
      <c r="AF26" s="505"/>
      <c r="AG26" s="505"/>
      <c r="AH26" s="505"/>
      <c r="AI26" s="505"/>
      <c r="AJ26" s="505"/>
      <c r="AK26" s="505"/>
      <c r="AL26" s="505"/>
      <c r="AM26" s="505"/>
      <c r="AN26" s="505"/>
      <c r="AO26" s="505"/>
      <c r="AP26" s="505"/>
      <c r="AQ26" s="505"/>
      <c r="AR26" s="505"/>
      <c r="AS26" s="505"/>
      <c r="AT26" s="505"/>
      <c r="AU26" s="505"/>
      <c r="AV26" s="505"/>
      <c r="AW26" s="505"/>
      <c r="AX26" s="505"/>
      <c r="AY26" s="505"/>
      <c r="AZ26" s="505"/>
      <c r="BA26" s="505"/>
      <c r="BB26" s="505"/>
      <c r="BC26" s="505"/>
      <c r="BD26" s="505"/>
      <c r="BE26" s="505"/>
      <c r="BF26" s="505"/>
      <c r="BG26" s="505"/>
      <c r="BH26" s="505"/>
      <c r="BI26" s="505"/>
      <c r="BJ26" s="505"/>
      <c r="BK26" s="505"/>
      <c r="BL26" s="505"/>
      <c r="BM26" s="505"/>
    </row>
    <row r="27" spans="1:65" ht="9.9499999999999993" customHeight="1">
      <c r="A27" s="505"/>
      <c r="B27" s="494"/>
      <c r="C27" s="487"/>
      <c r="D27" s="487"/>
      <c r="E27" s="487"/>
      <c r="F27" s="489"/>
      <c r="G27" s="487"/>
      <c r="H27" s="487"/>
      <c r="I27" s="487"/>
      <c r="J27" s="487"/>
      <c r="K27" s="489"/>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row>
    <row r="28" spans="1:65" ht="9.9499999999999993" customHeight="1">
      <c r="A28" s="505"/>
      <c r="B28" s="494"/>
      <c r="C28" s="487"/>
      <c r="D28" s="487"/>
      <c r="E28" s="487"/>
      <c r="F28" s="489"/>
      <c r="G28" s="487"/>
      <c r="H28" s="487"/>
      <c r="I28" s="487"/>
      <c r="J28" s="487"/>
      <c r="K28" s="489"/>
      <c r="L28" s="505"/>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05"/>
      <c r="AO28" s="505"/>
      <c r="AP28" s="505"/>
      <c r="AQ28" s="505"/>
      <c r="AR28" s="505"/>
      <c r="AS28" s="505"/>
      <c r="AT28" s="505"/>
      <c r="AU28" s="505"/>
      <c r="AV28" s="505"/>
      <c r="AW28" s="505"/>
      <c r="AX28" s="505"/>
      <c r="AY28" s="505"/>
      <c r="AZ28" s="505"/>
      <c r="BA28" s="505"/>
      <c r="BB28" s="505"/>
      <c r="BC28" s="505"/>
      <c r="BD28" s="505"/>
      <c r="BE28" s="505"/>
      <c r="BF28" s="505"/>
      <c r="BG28" s="505"/>
      <c r="BH28" s="505"/>
      <c r="BI28" s="505"/>
      <c r="BJ28" s="505"/>
      <c r="BK28" s="505"/>
      <c r="BL28" s="505"/>
      <c r="BM28" s="505"/>
    </row>
    <row r="29" spans="1:65" ht="9.9499999999999993" customHeight="1">
      <c r="A29" s="505"/>
      <c r="B29" s="494"/>
      <c r="C29" s="487"/>
      <c r="D29" s="487"/>
      <c r="E29" s="487"/>
      <c r="F29" s="489"/>
      <c r="G29" s="487"/>
      <c r="H29" s="487"/>
      <c r="I29" s="487"/>
      <c r="J29" s="487"/>
      <c r="K29" s="489"/>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c r="AM29" s="505"/>
      <c r="AN29" s="505"/>
      <c r="AO29" s="505"/>
      <c r="AP29" s="505"/>
      <c r="AQ29" s="505"/>
      <c r="AR29" s="505"/>
      <c r="AS29" s="505"/>
      <c r="AT29" s="505"/>
      <c r="AU29" s="505"/>
      <c r="AV29" s="505"/>
      <c r="AW29" s="505"/>
      <c r="AX29" s="505"/>
      <c r="AY29" s="505"/>
      <c r="AZ29" s="505"/>
      <c r="BA29" s="505"/>
      <c r="BB29" s="505"/>
      <c r="BC29" s="505"/>
      <c r="BD29" s="505"/>
      <c r="BE29" s="505"/>
      <c r="BF29" s="505"/>
      <c r="BG29" s="505"/>
      <c r="BH29" s="505"/>
      <c r="BI29" s="505"/>
      <c r="BJ29" s="505"/>
      <c r="BK29" s="505"/>
      <c r="BL29" s="505"/>
      <c r="BM29" s="505"/>
    </row>
    <row r="30" spans="1:65" ht="9.9499999999999993" customHeight="1">
      <c r="A30" s="505"/>
      <c r="B30" s="494"/>
      <c r="C30" s="487"/>
      <c r="D30" s="487"/>
      <c r="E30" s="487"/>
      <c r="F30" s="489"/>
      <c r="G30" s="487"/>
      <c r="H30" s="487"/>
      <c r="I30" s="487"/>
      <c r="J30" s="487"/>
      <c r="K30" s="489"/>
      <c r="L30" s="505"/>
      <c r="M30" s="511"/>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c r="AO30" s="505"/>
      <c r="AP30" s="505"/>
      <c r="AQ30" s="505"/>
      <c r="AR30" s="505"/>
      <c r="AS30" s="505"/>
      <c r="AT30" s="505"/>
      <c r="AU30" s="505"/>
      <c r="AV30" s="505"/>
      <c r="AW30" s="505"/>
      <c r="AX30" s="505"/>
      <c r="AY30" s="505"/>
      <c r="AZ30" s="505"/>
      <c r="BA30" s="505"/>
      <c r="BB30" s="505"/>
      <c r="BC30" s="505"/>
      <c r="BD30" s="505"/>
      <c r="BE30" s="505"/>
      <c r="BF30" s="505"/>
      <c r="BG30" s="505"/>
      <c r="BH30" s="505"/>
      <c r="BI30" s="505"/>
      <c r="BJ30" s="505"/>
      <c r="BK30" s="505"/>
      <c r="BL30" s="505"/>
      <c r="BM30" s="505"/>
    </row>
    <row r="31" spans="1:65" ht="9.9499999999999993" customHeight="1">
      <c r="A31" s="505"/>
      <c r="B31" s="494"/>
      <c r="C31" s="487"/>
      <c r="D31" s="487"/>
      <c r="E31" s="487"/>
      <c r="F31" s="489"/>
      <c r="G31" s="487"/>
      <c r="H31" s="487"/>
      <c r="I31" s="487"/>
      <c r="J31" s="487"/>
      <c r="K31" s="489"/>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5"/>
      <c r="AN31" s="505"/>
      <c r="AO31" s="505"/>
      <c r="AP31" s="505"/>
      <c r="AQ31" s="505"/>
      <c r="AR31" s="505"/>
      <c r="AS31" s="505"/>
      <c r="AT31" s="505"/>
      <c r="AU31" s="505"/>
      <c r="AV31" s="505"/>
      <c r="AW31" s="505"/>
      <c r="AX31" s="505"/>
      <c r="AY31" s="505"/>
      <c r="AZ31" s="505"/>
      <c r="BA31" s="505"/>
      <c r="BB31" s="505"/>
      <c r="BC31" s="505"/>
      <c r="BD31" s="505"/>
      <c r="BE31" s="505"/>
      <c r="BF31" s="505"/>
      <c r="BG31" s="505"/>
      <c r="BH31" s="505"/>
      <c r="BI31" s="505"/>
      <c r="BJ31" s="505"/>
      <c r="BK31" s="505"/>
      <c r="BL31" s="505"/>
      <c r="BM31" s="505"/>
    </row>
    <row r="32" spans="1:65" ht="9.9499999999999993" customHeight="1">
      <c r="A32" s="505"/>
      <c r="B32" s="494"/>
      <c r="C32" s="487"/>
      <c r="D32" s="487"/>
      <c r="E32" s="487"/>
      <c r="F32" s="489"/>
      <c r="G32" s="487"/>
      <c r="H32" s="487"/>
      <c r="I32" s="487"/>
      <c r="J32" s="487"/>
      <c r="K32" s="489"/>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5"/>
      <c r="AY32" s="505"/>
      <c r="AZ32" s="505"/>
      <c r="BA32" s="505"/>
      <c r="BB32" s="505"/>
      <c r="BC32" s="505"/>
      <c r="BD32" s="505"/>
      <c r="BE32" s="505"/>
      <c r="BF32" s="505"/>
      <c r="BG32" s="505"/>
      <c r="BH32" s="505"/>
      <c r="BI32" s="505"/>
      <c r="BJ32" s="505"/>
      <c r="BK32" s="505"/>
      <c r="BL32" s="505"/>
      <c r="BM32" s="505"/>
    </row>
    <row r="33" spans="1:65" ht="9.9499999999999993" customHeight="1">
      <c r="A33" s="505"/>
      <c r="B33" s="494"/>
      <c r="C33" s="487"/>
      <c r="D33" s="487"/>
      <c r="E33" s="487"/>
      <c r="F33" s="489"/>
      <c r="G33" s="487"/>
      <c r="H33" s="487"/>
      <c r="I33" s="487"/>
      <c r="J33" s="487"/>
      <c r="K33" s="489"/>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c r="AP33" s="505"/>
      <c r="AQ33" s="505"/>
      <c r="AR33" s="505"/>
      <c r="AS33" s="505"/>
      <c r="AT33" s="505"/>
      <c r="AU33" s="505"/>
      <c r="AV33" s="505"/>
      <c r="AW33" s="505"/>
      <c r="AX33" s="505"/>
      <c r="AY33" s="505"/>
      <c r="AZ33" s="505"/>
      <c r="BA33" s="505"/>
      <c r="BB33" s="505"/>
      <c r="BC33" s="505"/>
      <c r="BD33" s="505"/>
      <c r="BE33" s="505"/>
      <c r="BF33" s="505"/>
      <c r="BG33" s="505"/>
      <c r="BH33" s="505"/>
      <c r="BI33" s="505"/>
      <c r="BJ33" s="505"/>
      <c r="BK33" s="505"/>
      <c r="BL33" s="505"/>
      <c r="BM33" s="505"/>
    </row>
    <row r="34" spans="1:65" ht="9.9499999999999993" customHeight="1">
      <c r="A34" s="505"/>
      <c r="B34" s="494"/>
      <c r="C34" s="487"/>
      <c r="D34" s="487"/>
      <c r="E34" s="487"/>
      <c r="F34" s="489"/>
      <c r="G34" s="487"/>
      <c r="H34" s="487"/>
      <c r="I34" s="487"/>
      <c r="J34" s="487"/>
      <c r="K34" s="489"/>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05"/>
      <c r="AO34" s="505"/>
      <c r="AP34" s="505"/>
      <c r="AQ34" s="505"/>
      <c r="AR34" s="505"/>
      <c r="AS34" s="505"/>
      <c r="AT34" s="505"/>
      <c r="AU34" s="505"/>
      <c r="AV34" s="505"/>
      <c r="AW34" s="505"/>
      <c r="AX34" s="505"/>
      <c r="AY34" s="505"/>
      <c r="AZ34" s="505"/>
      <c r="BA34" s="505"/>
      <c r="BB34" s="505"/>
      <c r="BC34" s="505"/>
      <c r="BD34" s="505"/>
      <c r="BE34" s="505"/>
      <c r="BF34" s="505"/>
      <c r="BG34" s="505"/>
      <c r="BH34" s="505"/>
      <c r="BI34" s="505"/>
      <c r="BJ34" s="505"/>
      <c r="BK34" s="505"/>
      <c r="BL34" s="505"/>
      <c r="BM34" s="505"/>
    </row>
    <row r="35" spans="1:65" ht="9.9499999999999993" customHeight="1">
      <c r="A35" s="505"/>
      <c r="B35" s="494"/>
      <c r="C35" s="487"/>
      <c r="D35" s="487"/>
      <c r="E35" s="487"/>
      <c r="F35" s="489"/>
      <c r="G35" s="487"/>
      <c r="H35" s="487"/>
      <c r="I35" s="487"/>
      <c r="J35" s="487"/>
      <c r="K35" s="489"/>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05"/>
      <c r="AO35" s="505"/>
      <c r="AP35" s="505"/>
      <c r="AQ35" s="505"/>
      <c r="AR35" s="505"/>
      <c r="AS35" s="505"/>
      <c r="AT35" s="505"/>
      <c r="AU35" s="505"/>
      <c r="AV35" s="505"/>
      <c r="AW35" s="505"/>
      <c r="AX35" s="505"/>
      <c r="AY35" s="505"/>
      <c r="AZ35" s="505"/>
      <c r="BA35" s="505"/>
      <c r="BB35" s="505"/>
      <c r="BC35" s="505"/>
      <c r="BD35" s="505"/>
      <c r="BE35" s="505"/>
      <c r="BF35" s="505"/>
      <c r="BG35" s="505"/>
      <c r="BH35" s="505"/>
      <c r="BI35" s="505"/>
      <c r="BJ35" s="505"/>
      <c r="BK35" s="505"/>
      <c r="BL35" s="505"/>
      <c r="BM35" s="505"/>
    </row>
    <row r="36" spans="1:65" ht="9.9499999999999993" customHeight="1">
      <c r="A36" s="505"/>
      <c r="B36" s="494"/>
      <c r="C36" s="487"/>
      <c r="D36" s="487"/>
      <c r="E36" s="487"/>
      <c r="F36" s="489"/>
      <c r="G36" s="487"/>
      <c r="H36" s="487"/>
      <c r="I36" s="487"/>
      <c r="J36" s="487"/>
      <c r="K36" s="489"/>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c r="AP36" s="505"/>
      <c r="AQ36" s="505"/>
      <c r="AR36" s="505"/>
      <c r="AS36" s="505"/>
      <c r="AT36" s="505"/>
      <c r="AU36" s="505"/>
      <c r="AV36" s="505"/>
      <c r="AW36" s="505"/>
      <c r="AX36" s="505"/>
      <c r="AY36" s="505"/>
      <c r="AZ36" s="505"/>
      <c r="BA36" s="505"/>
      <c r="BB36" s="505"/>
      <c r="BC36" s="505"/>
      <c r="BD36" s="505"/>
      <c r="BE36" s="505"/>
      <c r="BF36" s="505"/>
      <c r="BG36" s="505"/>
      <c r="BH36" s="505"/>
      <c r="BI36" s="505"/>
      <c r="BJ36" s="505"/>
      <c r="BK36" s="505"/>
      <c r="BL36" s="505"/>
      <c r="BM36" s="505"/>
    </row>
    <row r="37" spans="1:65" ht="9.9499999999999993" customHeight="1">
      <c r="A37" s="505"/>
      <c r="B37" s="494"/>
      <c r="C37" s="487"/>
      <c r="D37" s="487"/>
      <c r="E37" s="487"/>
      <c r="F37" s="489"/>
      <c r="G37" s="487"/>
      <c r="H37" s="487"/>
      <c r="I37" s="487"/>
      <c r="J37" s="487"/>
      <c r="K37" s="489"/>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05"/>
      <c r="AO37" s="505"/>
      <c r="AP37" s="505"/>
      <c r="AQ37" s="505"/>
      <c r="AR37" s="505"/>
      <c r="AS37" s="505"/>
      <c r="AT37" s="505"/>
      <c r="AU37" s="505"/>
      <c r="AV37" s="505"/>
      <c r="AW37" s="505"/>
      <c r="AX37" s="505"/>
      <c r="AY37" s="505"/>
      <c r="AZ37" s="505"/>
      <c r="BA37" s="505"/>
      <c r="BB37" s="505"/>
      <c r="BC37" s="505"/>
      <c r="BD37" s="505"/>
      <c r="BE37" s="505"/>
      <c r="BF37" s="505"/>
      <c r="BG37" s="505"/>
      <c r="BH37" s="505"/>
      <c r="BI37" s="505"/>
      <c r="BJ37" s="505"/>
      <c r="BK37" s="505"/>
      <c r="BL37" s="505"/>
      <c r="BM37" s="505"/>
    </row>
    <row r="38" spans="1:65" ht="9.9499999999999993" customHeight="1">
      <c r="A38" s="505"/>
      <c r="B38" s="494"/>
      <c r="C38" s="487"/>
      <c r="D38" s="487"/>
      <c r="E38" s="487"/>
      <c r="F38" s="489"/>
      <c r="G38" s="487"/>
      <c r="H38" s="487"/>
      <c r="I38" s="487"/>
      <c r="J38" s="487"/>
      <c r="K38" s="489"/>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5"/>
      <c r="AK38" s="505"/>
      <c r="AL38" s="505"/>
      <c r="AM38" s="505"/>
      <c r="AN38" s="505"/>
      <c r="AO38" s="505"/>
      <c r="AP38" s="505"/>
      <c r="AQ38" s="505"/>
      <c r="AR38" s="505"/>
      <c r="AS38" s="505"/>
      <c r="AT38" s="505"/>
      <c r="AU38" s="505"/>
      <c r="AV38" s="505"/>
      <c r="AW38" s="505"/>
      <c r="AX38" s="505"/>
      <c r="AY38" s="505"/>
      <c r="AZ38" s="505"/>
      <c r="BA38" s="505"/>
      <c r="BB38" s="505"/>
      <c r="BC38" s="505"/>
      <c r="BD38" s="505"/>
      <c r="BE38" s="505"/>
      <c r="BF38" s="505"/>
      <c r="BG38" s="505"/>
      <c r="BH38" s="505"/>
      <c r="BI38" s="505"/>
      <c r="BJ38" s="505"/>
      <c r="BK38" s="505"/>
      <c r="BL38" s="505"/>
      <c r="BM38" s="505"/>
    </row>
    <row r="39" spans="1:65" ht="9.9499999999999993" customHeight="1">
      <c r="A39" s="505"/>
      <c r="B39" s="494"/>
      <c r="C39" s="487"/>
      <c r="D39" s="487"/>
      <c r="E39" s="487"/>
      <c r="F39" s="489"/>
      <c r="G39" s="487"/>
      <c r="H39" s="487"/>
      <c r="I39" s="487"/>
      <c r="J39" s="487"/>
      <c r="K39" s="489"/>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5"/>
      <c r="AY39" s="505"/>
      <c r="AZ39" s="505"/>
      <c r="BA39" s="505"/>
      <c r="BB39" s="505"/>
      <c r="BC39" s="505"/>
      <c r="BD39" s="505"/>
      <c r="BE39" s="505"/>
      <c r="BF39" s="505"/>
      <c r="BG39" s="505"/>
      <c r="BH39" s="505"/>
      <c r="BI39" s="505"/>
      <c r="BJ39" s="505"/>
      <c r="BK39" s="505"/>
      <c r="BL39" s="505"/>
      <c r="BM39" s="505"/>
    </row>
    <row r="40" spans="1:65" ht="9.9499999999999993" customHeight="1">
      <c r="A40" s="505"/>
      <c r="B40" s="494"/>
      <c r="C40" s="487"/>
      <c r="D40" s="487"/>
      <c r="E40" s="487"/>
      <c r="F40" s="489"/>
      <c r="G40" s="487"/>
      <c r="H40" s="487"/>
      <c r="I40" s="487"/>
      <c r="J40" s="487"/>
      <c r="K40" s="489"/>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row>
    <row r="41" spans="1:65" ht="9.9499999999999993" customHeight="1">
      <c r="A41" s="505"/>
      <c r="B41" s="494"/>
      <c r="C41" s="487"/>
      <c r="D41" s="487"/>
      <c r="E41" s="487"/>
      <c r="F41" s="489"/>
      <c r="G41" s="487"/>
      <c r="H41" s="487"/>
      <c r="I41" s="487"/>
      <c r="J41" s="487"/>
      <c r="K41" s="489"/>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row>
    <row r="42" spans="1:65" ht="9.9499999999999993" customHeight="1">
      <c r="A42" s="505"/>
      <c r="B42" s="494"/>
      <c r="C42" s="487"/>
      <c r="D42" s="487"/>
      <c r="E42" s="487"/>
      <c r="F42" s="489"/>
      <c r="G42" s="487"/>
      <c r="H42" s="487"/>
      <c r="I42" s="487"/>
      <c r="J42" s="487"/>
      <c r="K42" s="489"/>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row>
    <row r="43" spans="1:65" ht="9.9499999999999993" customHeight="1">
      <c r="A43" s="505"/>
      <c r="B43" s="494"/>
      <c r="C43" s="487"/>
      <c r="D43" s="487"/>
      <c r="E43" s="487"/>
      <c r="F43" s="489"/>
      <c r="G43" s="487"/>
      <c r="H43" s="487"/>
      <c r="I43" s="487"/>
      <c r="J43" s="487"/>
      <c r="K43" s="489"/>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row>
    <row r="44" spans="1:65" ht="9.9499999999999993" customHeight="1" thickBot="1">
      <c r="A44" s="505"/>
      <c r="B44" s="495"/>
      <c r="C44" s="492"/>
      <c r="D44" s="492"/>
      <c r="E44" s="492"/>
      <c r="F44" s="496"/>
      <c r="G44" s="492"/>
      <c r="H44" s="492"/>
      <c r="I44" s="492"/>
      <c r="J44" s="492"/>
      <c r="K44" s="496"/>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row>
    <row r="45" spans="1:65" ht="9.9499999999999993" customHeight="1">
      <c r="A45" s="505"/>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row>
    <row r="46" spans="1:65" ht="9.9499999999999993" customHeight="1">
      <c r="A46" s="505"/>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row>
    <row r="47" spans="1:65" ht="9.9499999999999993" customHeight="1">
      <c r="A47" s="505"/>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row>
    <row r="48" spans="1:65" ht="9.9499999999999993" customHeight="1">
      <c r="A48" s="505"/>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row>
    <row r="49" spans="1:65" ht="9.9499999999999993" customHeight="1">
      <c r="A49" s="505"/>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row>
    <row r="50" spans="1:65" ht="9.9499999999999993" customHeight="1">
      <c r="A50" s="505"/>
      <c r="B50" s="505"/>
      <c r="C50" s="505"/>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505"/>
      <c r="AE50" s="505"/>
      <c r="AF50" s="505"/>
      <c r="AG50" s="505"/>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row>
    <row r="51" spans="1:65" ht="9.9499999999999993" customHeight="1">
      <c r="A51" s="505"/>
      <c r="B51" s="505"/>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row>
    <row r="52" spans="1:65" ht="9.9499999999999993" customHeight="1">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row>
    <row r="53" spans="1:65" ht="9.9499999999999993" customHeight="1">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row>
    <row r="54" spans="1:65" ht="9.9499999999999993" customHeight="1">
      <c r="A54" s="505"/>
      <c r="B54" s="505"/>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row>
    <row r="55" spans="1:65" ht="9.9499999999999993"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row>
    <row r="56" spans="1:65" ht="9.9499999999999993" customHeight="1">
      <c r="A56" s="505"/>
      <c r="B56" s="505"/>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row>
    <row r="57" spans="1:65" ht="9.9499999999999993" customHeight="1">
      <c r="A57" s="505"/>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row>
    <row r="58" spans="1:65" ht="9.9499999999999993" customHeight="1">
      <c r="A58" s="505"/>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row>
    <row r="59" spans="1:65" ht="9.9499999999999993" customHeight="1">
      <c r="A59" s="505"/>
      <c r="B59" s="505"/>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row>
    <row r="60" spans="1:65" ht="9.9499999999999993" customHeight="1">
      <c r="A60" s="505"/>
      <c r="B60" s="505"/>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row>
    <row r="61" spans="1:65" ht="9.9499999999999993" customHeight="1">
      <c r="A61" s="505"/>
      <c r="B61" s="505"/>
      <c r="C61" s="505"/>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505"/>
      <c r="AE61" s="505"/>
      <c r="AF61" s="505"/>
      <c r="AG61" s="505"/>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row>
    <row r="62" spans="1:65" ht="9.9499999999999993" customHeight="1">
      <c r="A62" s="505"/>
      <c r="B62" s="505"/>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row>
    <row r="63" spans="1:65" ht="9.9499999999999993" customHeight="1">
      <c r="A63" s="505"/>
      <c r="B63" s="505"/>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c r="AE63" s="505"/>
      <c r="AF63" s="505"/>
      <c r="AG63" s="505"/>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row>
    <row r="64" spans="1:65" ht="9.9499999999999993" customHeight="1">
      <c r="A64" s="505"/>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row>
    <row r="65" spans="1:65" ht="9.9499999999999993" customHeight="1">
      <c r="A65" s="505"/>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row>
    <row r="66" spans="1:65" ht="9.9499999999999993" customHeight="1">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row>
    <row r="67" spans="1:65" ht="9.9499999999999993" customHeight="1">
      <c r="A67" s="505"/>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row>
    <row r="68" spans="1:65" ht="9.9499999999999993" customHeight="1">
      <c r="A68" s="505"/>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row>
    <row r="69" spans="1:65" ht="9.9499999999999993" customHeight="1">
      <c r="A69" s="505"/>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row>
    <row r="70" spans="1:65" ht="9.9499999999999993" customHeight="1">
      <c r="A70" s="505"/>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505"/>
      <c r="AE70" s="505"/>
      <c r="AF70" s="505"/>
      <c r="AG70" s="505"/>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row>
    <row r="71" spans="1:65" ht="9.9499999999999993" customHeight="1">
      <c r="A71" s="505"/>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c r="AG71" s="505"/>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row>
    <row r="72" spans="1:65" ht="9.9499999999999993" customHeight="1">
      <c r="A72" s="505"/>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c r="AG72" s="505"/>
      <c r="AH72" s="505"/>
      <c r="AI72" s="505"/>
      <c r="AJ72" s="505"/>
      <c r="AK72" s="505"/>
      <c r="AL72" s="505"/>
      <c r="AM72" s="505"/>
      <c r="AN72" s="505"/>
      <c r="AO72" s="505"/>
      <c r="AP72" s="505"/>
      <c r="AQ72" s="505"/>
      <c r="AR72" s="505"/>
      <c r="AS72" s="505"/>
      <c r="AT72" s="505"/>
      <c r="AU72" s="505"/>
      <c r="AV72" s="505"/>
      <c r="AW72" s="505"/>
      <c r="AX72" s="505"/>
      <c r="AY72" s="505"/>
      <c r="AZ72" s="505"/>
      <c r="BA72" s="505"/>
      <c r="BB72" s="505"/>
      <c r="BC72" s="505"/>
      <c r="BD72" s="505"/>
      <c r="BE72" s="505"/>
      <c r="BF72" s="505"/>
      <c r="BG72" s="505"/>
      <c r="BH72" s="505"/>
      <c r="BI72" s="505"/>
      <c r="BJ72" s="505"/>
      <c r="BK72" s="505"/>
      <c r="BL72" s="505"/>
      <c r="BM72" s="505"/>
    </row>
    <row r="73" spans="1:65" ht="9.9499999999999993" customHeight="1">
      <c r="A73" s="505"/>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c r="AM73" s="505"/>
      <c r="AN73" s="505"/>
      <c r="AO73" s="505"/>
      <c r="AP73" s="505"/>
      <c r="AQ73" s="505"/>
      <c r="AR73" s="505"/>
      <c r="AS73" s="505"/>
      <c r="AT73" s="505"/>
      <c r="AU73" s="505"/>
      <c r="AV73" s="505"/>
      <c r="AW73" s="505"/>
      <c r="AX73" s="505"/>
      <c r="AY73" s="505"/>
      <c r="AZ73" s="505"/>
      <c r="BA73" s="505"/>
      <c r="BB73" s="505"/>
      <c r="BC73" s="505"/>
      <c r="BD73" s="505"/>
      <c r="BE73" s="505"/>
      <c r="BF73" s="505"/>
      <c r="BG73" s="505"/>
      <c r="BH73" s="505"/>
      <c r="BI73" s="505"/>
      <c r="BJ73" s="505"/>
      <c r="BK73" s="505"/>
      <c r="BL73" s="505"/>
      <c r="BM73" s="505"/>
    </row>
    <row r="74" spans="1:65" ht="9.9499999999999993" customHeight="1">
      <c r="A74" s="505"/>
      <c r="B74" s="505"/>
      <c r="C74" s="505"/>
      <c r="D74" s="505"/>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c r="AE74" s="505"/>
      <c r="AF74" s="505"/>
      <c r="AG74" s="505"/>
      <c r="AH74" s="505"/>
      <c r="AI74" s="505"/>
      <c r="AJ74" s="505"/>
      <c r="AK74" s="505"/>
      <c r="AL74" s="505"/>
      <c r="AM74" s="505"/>
      <c r="AN74" s="505"/>
      <c r="AO74" s="505"/>
      <c r="AP74" s="505"/>
      <c r="AQ74" s="505"/>
      <c r="AR74" s="505"/>
      <c r="AS74" s="505"/>
      <c r="AT74" s="505"/>
      <c r="AU74" s="505"/>
      <c r="AV74" s="505"/>
      <c r="AW74" s="505"/>
      <c r="AX74" s="505"/>
      <c r="AY74" s="505"/>
      <c r="AZ74" s="505"/>
      <c r="BA74" s="505"/>
      <c r="BB74" s="505"/>
      <c r="BC74" s="505"/>
      <c r="BD74" s="505"/>
      <c r="BE74" s="505"/>
      <c r="BF74" s="505"/>
      <c r="BG74" s="505"/>
      <c r="BH74" s="505"/>
      <c r="BI74" s="505"/>
      <c r="BJ74" s="505"/>
      <c r="BK74" s="505"/>
      <c r="BL74" s="505"/>
      <c r="BM74" s="505"/>
    </row>
    <row r="75" spans="1:65" ht="9.9499999999999993" customHeight="1">
      <c r="A75" s="505"/>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c r="AG75" s="505"/>
      <c r="AH75" s="505"/>
      <c r="AI75" s="505"/>
      <c r="AJ75" s="505"/>
      <c r="AK75" s="505"/>
      <c r="AL75" s="505"/>
      <c r="AM75" s="505"/>
      <c r="AN75" s="505"/>
      <c r="AO75" s="505"/>
      <c r="AP75" s="505"/>
      <c r="AQ75" s="505"/>
      <c r="AR75" s="505"/>
      <c r="AS75" s="505"/>
      <c r="AT75" s="505"/>
      <c r="AU75" s="505"/>
      <c r="AV75" s="505"/>
      <c r="AW75" s="505"/>
      <c r="AX75" s="505"/>
      <c r="AY75" s="505"/>
      <c r="AZ75" s="505"/>
      <c r="BA75" s="505"/>
      <c r="BB75" s="505"/>
      <c r="BC75" s="505"/>
      <c r="BD75" s="505"/>
      <c r="BE75" s="505"/>
      <c r="BF75" s="505"/>
      <c r="BG75" s="505"/>
      <c r="BH75" s="505"/>
      <c r="BI75" s="505"/>
      <c r="BJ75" s="505"/>
      <c r="BK75" s="505"/>
      <c r="BL75" s="505"/>
      <c r="BM75" s="505"/>
    </row>
    <row r="76" spans="1:65" ht="9.9499999999999993" customHeight="1">
      <c r="A76" s="505"/>
      <c r="B76" s="505"/>
      <c r="C76" s="505"/>
      <c r="D76" s="505"/>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505"/>
      <c r="AE76" s="505"/>
      <c r="AF76" s="505"/>
      <c r="AG76" s="505"/>
      <c r="AH76" s="505"/>
      <c r="AI76" s="505"/>
      <c r="AJ76" s="505"/>
      <c r="AK76" s="505"/>
      <c r="AL76" s="505"/>
      <c r="AM76" s="505"/>
      <c r="AN76" s="505"/>
      <c r="AO76" s="505"/>
      <c r="AP76" s="505"/>
      <c r="AQ76" s="505"/>
      <c r="AR76" s="505"/>
      <c r="AS76" s="505"/>
      <c r="AT76" s="505"/>
      <c r="AU76" s="505"/>
      <c r="AV76" s="505"/>
      <c r="AW76" s="505"/>
      <c r="AX76" s="505"/>
      <c r="AY76" s="505"/>
      <c r="AZ76" s="505"/>
      <c r="BA76" s="505"/>
      <c r="BB76" s="505"/>
      <c r="BC76" s="505"/>
      <c r="BD76" s="505"/>
      <c r="BE76" s="505"/>
      <c r="BF76" s="505"/>
      <c r="BG76" s="505"/>
      <c r="BH76" s="505"/>
      <c r="BI76" s="505"/>
      <c r="BJ76" s="505"/>
      <c r="BK76" s="505"/>
      <c r="BL76" s="505"/>
      <c r="BM76" s="505"/>
    </row>
    <row r="77" spans="1:65" ht="9.9499999999999993" customHeight="1">
      <c r="A77" s="505"/>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c r="AM77" s="505"/>
      <c r="AN77" s="505"/>
      <c r="AO77" s="505"/>
      <c r="AP77" s="505"/>
      <c r="AQ77" s="505"/>
      <c r="AR77" s="505"/>
      <c r="AS77" s="505"/>
      <c r="AT77" s="505"/>
      <c r="AU77" s="505"/>
      <c r="AV77" s="505"/>
      <c r="AW77" s="505"/>
      <c r="AX77" s="505"/>
      <c r="AY77" s="505"/>
      <c r="AZ77" s="505"/>
      <c r="BA77" s="505"/>
      <c r="BB77" s="505"/>
      <c r="BC77" s="505"/>
      <c r="BD77" s="505"/>
      <c r="BE77" s="505"/>
      <c r="BF77" s="505"/>
      <c r="BG77" s="505"/>
      <c r="BH77" s="505"/>
      <c r="BI77" s="505"/>
      <c r="BJ77" s="505"/>
      <c r="BK77" s="505"/>
      <c r="BL77" s="505"/>
      <c r="BM77" s="505"/>
    </row>
    <row r="78" spans="1:65" ht="9.9499999999999993" customHeight="1">
      <c r="A78" s="505"/>
      <c r="B78" s="505"/>
      <c r="C78" s="505"/>
      <c r="D78" s="505"/>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505"/>
      <c r="AE78" s="505"/>
      <c r="AF78" s="505"/>
      <c r="AG78" s="505"/>
      <c r="AH78" s="505"/>
      <c r="AI78" s="505"/>
      <c r="AJ78" s="505"/>
      <c r="AK78" s="505"/>
      <c r="AL78" s="505"/>
      <c r="AM78" s="505"/>
      <c r="AN78" s="505"/>
      <c r="AO78" s="505"/>
      <c r="AP78" s="505"/>
      <c r="AQ78" s="505"/>
      <c r="AR78" s="505"/>
      <c r="AS78" s="505"/>
      <c r="AT78" s="505"/>
      <c r="AU78" s="505"/>
      <c r="AV78" s="505"/>
      <c r="AW78" s="505"/>
      <c r="AX78" s="505"/>
      <c r="AY78" s="505"/>
      <c r="AZ78" s="505"/>
      <c r="BA78" s="505"/>
      <c r="BB78" s="505"/>
      <c r="BC78" s="505"/>
      <c r="BD78" s="505"/>
      <c r="BE78" s="505"/>
      <c r="BF78" s="505"/>
      <c r="BG78" s="505"/>
      <c r="BH78" s="505"/>
      <c r="BI78" s="505"/>
      <c r="BJ78" s="505"/>
      <c r="BK78" s="505"/>
      <c r="BL78" s="505"/>
      <c r="BM78" s="505"/>
    </row>
    <row r="79" spans="1:65" ht="9.9499999999999993" customHeight="1">
      <c r="A79" s="505"/>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505"/>
      <c r="AL79" s="505"/>
      <c r="AM79" s="505"/>
      <c r="AN79" s="505"/>
      <c r="AO79" s="505"/>
      <c r="AP79" s="505"/>
      <c r="AQ79" s="505"/>
      <c r="AR79" s="505"/>
      <c r="AS79" s="505"/>
      <c r="AT79" s="505"/>
      <c r="AU79" s="505"/>
      <c r="AV79" s="505"/>
      <c r="AW79" s="505"/>
      <c r="AX79" s="505"/>
      <c r="AY79" s="505"/>
      <c r="AZ79" s="505"/>
      <c r="BA79" s="505"/>
      <c r="BB79" s="505"/>
      <c r="BC79" s="505"/>
      <c r="BD79" s="505"/>
      <c r="BE79" s="505"/>
      <c r="BF79" s="505"/>
      <c r="BG79" s="505"/>
      <c r="BH79" s="505"/>
      <c r="BI79" s="505"/>
      <c r="BJ79" s="505"/>
      <c r="BK79" s="505"/>
      <c r="BL79" s="505"/>
      <c r="BM79" s="505"/>
    </row>
    <row r="80" spans="1:65" ht="9.9499999999999993" customHeight="1">
      <c r="A80" s="505"/>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c r="AM80" s="505"/>
      <c r="AN80" s="505"/>
      <c r="AO80" s="505"/>
      <c r="AP80" s="505"/>
      <c r="AQ80" s="505"/>
      <c r="AR80" s="505"/>
      <c r="AS80" s="505"/>
      <c r="AT80" s="505"/>
      <c r="AU80" s="505"/>
      <c r="AV80" s="505"/>
      <c r="AW80" s="505"/>
      <c r="AX80" s="505"/>
      <c r="AY80" s="505"/>
      <c r="AZ80" s="505"/>
      <c r="BA80" s="505"/>
      <c r="BB80" s="505"/>
      <c r="BC80" s="505"/>
      <c r="BD80" s="505"/>
      <c r="BE80" s="505"/>
      <c r="BF80" s="505"/>
      <c r="BG80" s="505"/>
      <c r="BH80" s="505"/>
      <c r="BI80" s="505"/>
      <c r="BJ80" s="505"/>
      <c r="BK80" s="505"/>
      <c r="BL80" s="505"/>
      <c r="BM80" s="505"/>
    </row>
    <row r="81" spans="1:65" ht="9.9499999999999993" customHeight="1">
      <c r="A81" s="505"/>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c r="AM81" s="505"/>
      <c r="AN81" s="505"/>
      <c r="AO81" s="505"/>
      <c r="AP81" s="505"/>
      <c r="AQ81" s="505"/>
      <c r="AR81" s="505"/>
      <c r="AS81" s="505"/>
      <c r="AT81" s="505"/>
      <c r="AU81" s="505"/>
      <c r="AV81" s="505"/>
      <c r="AW81" s="505"/>
      <c r="AX81" s="505"/>
      <c r="AY81" s="505"/>
      <c r="AZ81" s="505"/>
      <c r="BA81" s="505"/>
      <c r="BB81" s="505"/>
      <c r="BC81" s="505"/>
      <c r="BD81" s="505"/>
      <c r="BE81" s="505"/>
      <c r="BF81" s="505"/>
      <c r="BG81" s="505"/>
      <c r="BH81" s="505"/>
      <c r="BI81" s="505"/>
      <c r="BJ81" s="505"/>
      <c r="BK81" s="505"/>
      <c r="BL81" s="505"/>
      <c r="BM81" s="505"/>
    </row>
    <row r="82" spans="1:65" ht="9.9499999999999993" customHeight="1">
      <c r="A82" s="505"/>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P82" s="505"/>
      <c r="AQ82" s="505"/>
      <c r="AR82" s="505"/>
      <c r="AS82" s="505"/>
      <c r="AT82" s="505"/>
      <c r="AU82" s="505"/>
      <c r="AV82" s="505"/>
      <c r="AW82" s="505"/>
      <c r="AX82" s="505"/>
      <c r="AY82" s="505"/>
      <c r="AZ82" s="505"/>
      <c r="BA82" s="505"/>
      <c r="BB82" s="505"/>
      <c r="BC82" s="505"/>
      <c r="BD82" s="505"/>
      <c r="BE82" s="505"/>
      <c r="BF82" s="505"/>
      <c r="BG82" s="505"/>
      <c r="BH82" s="505"/>
      <c r="BI82" s="505"/>
      <c r="BJ82" s="505"/>
      <c r="BK82" s="505"/>
      <c r="BL82" s="505"/>
      <c r="BM82" s="505"/>
    </row>
    <row r="83" spans="1:65" ht="9.9499999999999993" customHeight="1">
      <c r="A83" s="505"/>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5"/>
      <c r="AY83" s="505"/>
      <c r="AZ83" s="505"/>
      <c r="BA83" s="505"/>
      <c r="BB83" s="505"/>
      <c r="BC83" s="505"/>
      <c r="BD83" s="505"/>
      <c r="BE83" s="505"/>
      <c r="BF83" s="505"/>
      <c r="BG83" s="505"/>
      <c r="BH83" s="505"/>
      <c r="BI83" s="505"/>
      <c r="BJ83" s="505"/>
      <c r="BK83" s="505"/>
      <c r="BL83" s="505"/>
      <c r="BM83" s="505"/>
    </row>
    <row r="84" spans="1:65" ht="9.9499999999999993" customHeight="1">
      <c r="A84" s="505"/>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5"/>
      <c r="AN84" s="505"/>
      <c r="AO84" s="505"/>
      <c r="AP84" s="505"/>
      <c r="AQ84" s="505"/>
      <c r="AR84" s="505"/>
      <c r="AS84" s="505"/>
      <c r="AT84" s="505"/>
      <c r="AU84" s="505"/>
      <c r="AV84" s="505"/>
      <c r="AW84" s="505"/>
      <c r="AX84" s="505"/>
      <c r="AY84" s="505"/>
      <c r="AZ84" s="505"/>
      <c r="BA84" s="505"/>
      <c r="BB84" s="505"/>
      <c r="BC84" s="505"/>
      <c r="BD84" s="505"/>
      <c r="BE84" s="505"/>
      <c r="BF84" s="505"/>
      <c r="BG84" s="505"/>
      <c r="BH84" s="505"/>
      <c r="BI84" s="505"/>
      <c r="BJ84" s="505"/>
      <c r="BK84" s="505"/>
      <c r="BL84" s="505"/>
      <c r="BM84" s="505"/>
    </row>
    <row r="85" spans="1:65" ht="9.9499999999999993" customHeight="1">
      <c r="A85" s="505"/>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P85" s="505"/>
      <c r="AQ85" s="505"/>
      <c r="AR85" s="505"/>
      <c r="AS85" s="505"/>
      <c r="AT85" s="505"/>
      <c r="AU85" s="505"/>
      <c r="AV85" s="505"/>
      <c r="AW85" s="505"/>
      <c r="AX85" s="505"/>
      <c r="AY85" s="505"/>
      <c r="AZ85" s="505"/>
      <c r="BA85" s="505"/>
      <c r="BB85" s="505"/>
      <c r="BC85" s="505"/>
      <c r="BD85" s="505"/>
      <c r="BE85" s="505"/>
      <c r="BF85" s="505"/>
      <c r="BG85" s="505"/>
      <c r="BH85" s="505"/>
      <c r="BI85" s="505"/>
      <c r="BJ85" s="505"/>
      <c r="BK85" s="505"/>
      <c r="BL85" s="505"/>
      <c r="BM85" s="505"/>
    </row>
    <row r="86" spans="1:65" ht="9.9499999999999993" customHeight="1">
      <c r="A86" s="505"/>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c r="AG86" s="505"/>
      <c r="AH86" s="505"/>
      <c r="AI86" s="505"/>
      <c r="AJ86" s="505"/>
      <c r="AK86" s="505"/>
      <c r="AL86" s="505"/>
      <c r="AM86" s="505"/>
      <c r="AN86" s="505"/>
      <c r="AO86" s="505"/>
      <c r="AP86" s="505"/>
      <c r="AQ86" s="505"/>
      <c r="AR86" s="505"/>
      <c r="AS86" s="505"/>
      <c r="AT86" s="505"/>
      <c r="AU86" s="505"/>
      <c r="AV86" s="505"/>
      <c r="AW86" s="505"/>
      <c r="AX86" s="505"/>
      <c r="AY86" s="505"/>
      <c r="AZ86" s="505"/>
      <c r="BA86" s="505"/>
      <c r="BB86" s="505"/>
      <c r="BC86" s="505"/>
      <c r="BD86" s="505"/>
      <c r="BE86" s="505"/>
      <c r="BF86" s="505"/>
      <c r="BG86" s="505"/>
      <c r="BH86" s="505"/>
      <c r="BI86" s="505"/>
      <c r="BJ86" s="505"/>
      <c r="BK86" s="505"/>
      <c r="BL86" s="505"/>
      <c r="BM86" s="505"/>
    </row>
    <row r="87" spans="1:65" ht="9.9499999999999993" customHeight="1">
      <c r="A87" s="505"/>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c r="AG87" s="505"/>
      <c r="AH87" s="505"/>
      <c r="AI87" s="505"/>
      <c r="AJ87" s="505"/>
      <c r="AK87" s="505"/>
      <c r="AL87" s="505"/>
      <c r="AM87" s="505"/>
      <c r="AN87" s="505"/>
      <c r="AO87" s="505"/>
      <c r="AP87" s="505"/>
      <c r="AQ87" s="505"/>
      <c r="AR87" s="505"/>
      <c r="AS87" s="505"/>
      <c r="AT87" s="505"/>
      <c r="AU87" s="505"/>
      <c r="AV87" s="505"/>
      <c r="AW87" s="505"/>
      <c r="AX87" s="505"/>
      <c r="AY87" s="505"/>
      <c r="AZ87" s="505"/>
      <c r="BA87" s="505"/>
      <c r="BB87" s="505"/>
      <c r="BC87" s="505"/>
      <c r="BD87" s="505"/>
      <c r="BE87" s="505"/>
      <c r="BF87" s="505"/>
      <c r="BG87" s="505"/>
      <c r="BH87" s="505"/>
      <c r="BI87" s="505"/>
      <c r="BJ87" s="505"/>
      <c r="BK87" s="505"/>
      <c r="BL87" s="505"/>
      <c r="BM87" s="505"/>
    </row>
    <row r="88" spans="1:65" ht="9.9499999999999993" customHeight="1">
      <c r="A88" s="505"/>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c r="AG88" s="505"/>
      <c r="AH88" s="505"/>
      <c r="AI88" s="505"/>
      <c r="AJ88" s="505"/>
      <c r="AK88" s="505"/>
      <c r="AL88" s="505"/>
      <c r="AM88" s="505"/>
      <c r="AN88" s="505"/>
      <c r="AO88" s="505"/>
      <c r="AP88" s="505"/>
      <c r="AQ88" s="505"/>
      <c r="AR88" s="505"/>
      <c r="AS88" s="505"/>
      <c r="AT88" s="505"/>
      <c r="AU88" s="505"/>
      <c r="AV88" s="505"/>
      <c r="AW88" s="505"/>
      <c r="AX88" s="505"/>
      <c r="AY88" s="505"/>
      <c r="AZ88" s="505"/>
      <c r="BA88" s="505"/>
      <c r="BB88" s="505"/>
      <c r="BC88" s="505"/>
      <c r="BD88" s="505"/>
      <c r="BE88" s="505"/>
      <c r="BF88" s="505"/>
      <c r="BG88" s="505"/>
      <c r="BH88" s="505"/>
      <c r="BI88" s="505"/>
      <c r="BJ88" s="505"/>
      <c r="BK88" s="505"/>
      <c r="BL88" s="505"/>
      <c r="BM88" s="505"/>
    </row>
    <row r="89" spans="1:65" ht="9.9499999999999993" customHeight="1">
      <c r="A89" s="505"/>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P89" s="505"/>
      <c r="AQ89" s="505"/>
      <c r="AR89" s="505"/>
      <c r="AS89" s="505"/>
      <c r="AT89" s="505"/>
      <c r="AU89" s="505"/>
      <c r="AV89" s="505"/>
      <c r="AW89" s="505"/>
      <c r="AX89" s="505"/>
      <c r="AY89" s="505"/>
      <c r="AZ89" s="505"/>
      <c r="BA89" s="505"/>
      <c r="BB89" s="505"/>
      <c r="BC89" s="505"/>
      <c r="BD89" s="505"/>
      <c r="BE89" s="505"/>
      <c r="BF89" s="505"/>
      <c r="BG89" s="505"/>
      <c r="BH89" s="505"/>
      <c r="BI89" s="505"/>
      <c r="BJ89" s="505"/>
      <c r="BK89" s="505"/>
      <c r="BL89" s="505"/>
      <c r="BM89" s="505"/>
    </row>
    <row r="90" spans="1:65" ht="9.9499999999999993" customHeight="1">
      <c r="A90" s="505"/>
      <c r="B90" s="505"/>
      <c r="C90" s="505"/>
      <c r="D90" s="505"/>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505"/>
      <c r="AE90" s="505"/>
      <c r="AF90" s="505"/>
      <c r="AG90" s="505"/>
      <c r="AH90" s="505"/>
      <c r="AI90" s="505"/>
      <c r="AJ90" s="505"/>
      <c r="AK90" s="505"/>
      <c r="AL90" s="505"/>
      <c r="AM90" s="505"/>
      <c r="AN90" s="505"/>
      <c r="AO90" s="505"/>
      <c r="AP90" s="505"/>
      <c r="AQ90" s="505"/>
      <c r="AR90" s="505"/>
      <c r="AS90" s="505"/>
      <c r="AT90" s="505"/>
      <c r="AU90" s="505"/>
      <c r="AV90" s="505"/>
      <c r="AW90" s="505"/>
      <c r="AX90" s="505"/>
      <c r="AY90" s="505"/>
      <c r="AZ90" s="505"/>
      <c r="BA90" s="505"/>
      <c r="BB90" s="505"/>
      <c r="BC90" s="505"/>
      <c r="BD90" s="505"/>
      <c r="BE90" s="505"/>
      <c r="BF90" s="505"/>
      <c r="BG90" s="505"/>
      <c r="BH90" s="505"/>
      <c r="BI90" s="505"/>
      <c r="BJ90" s="505"/>
      <c r="BK90" s="505"/>
      <c r="BL90" s="505"/>
      <c r="BM90" s="505"/>
    </row>
    <row r="91" spans="1:65" ht="9.9499999999999993" customHeight="1">
      <c r="A91" s="505"/>
      <c r="B91" s="505"/>
      <c r="C91" s="505"/>
      <c r="D91" s="505"/>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505"/>
      <c r="AE91" s="505"/>
      <c r="AF91" s="505"/>
      <c r="AG91" s="505"/>
      <c r="AH91" s="505"/>
      <c r="AI91" s="505"/>
      <c r="AJ91" s="505"/>
      <c r="AK91" s="505"/>
      <c r="AL91" s="505"/>
      <c r="AM91" s="505"/>
      <c r="AN91" s="505"/>
      <c r="AO91" s="505"/>
      <c r="AP91" s="505"/>
      <c r="AQ91" s="505"/>
      <c r="AR91" s="505"/>
      <c r="AS91" s="505"/>
      <c r="AT91" s="505"/>
      <c r="AU91" s="505"/>
      <c r="AV91" s="505"/>
      <c r="AW91" s="505"/>
      <c r="AX91" s="505"/>
      <c r="AY91" s="505"/>
      <c r="AZ91" s="505"/>
      <c r="BA91" s="505"/>
      <c r="BB91" s="505"/>
      <c r="BC91" s="505"/>
      <c r="BD91" s="505"/>
      <c r="BE91" s="505"/>
      <c r="BF91" s="505"/>
      <c r="BG91" s="505"/>
      <c r="BH91" s="505"/>
      <c r="BI91" s="505"/>
      <c r="BJ91" s="505"/>
      <c r="BK91" s="505"/>
      <c r="BL91" s="505"/>
      <c r="BM91" s="505"/>
    </row>
    <row r="92" spans="1:65" ht="9.9499999999999993" customHeight="1">
      <c r="A92" s="505"/>
      <c r="B92" s="505"/>
      <c r="C92" s="505"/>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505"/>
      <c r="AY92" s="505"/>
      <c r="AZ92" s="505"/>
      <c r="BA92" s="505"/>
      <c r="BB92" s="505"/>
      <c r="BC92" s="505"/>
      <c r="BD92" s="505"/>
      <c r="BE92" s="505"/>
      <c r="BF92" s="505"/>
      <c r="BG92" s="505"/>
      <c r="BH92" s="505"/>
      <c r="BI92" s="505"/>
      <c r="BJ92" s="505"/>
      <c r="BK92" s="505"/>
      <c r="BL92" s="505"/>
      <c r="BM92" s="505"/>
    </row>
    <row r="93" spans="1:65" ht="9.9499999999999993" customHeight="1">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505"/>
      <c r="AY93" s="505"/>
      <c r="AZ93" s="505"/>
      <c r="BA93" s="505"/>
      <c r="BB93" s="505"/>
      <c r="BC93" s="505"/>
      <c r="BD93" s="505"/>
      <c r="BE93" s="505"/>
      <c r="BF93" s="505"/>
      <c r="BG93" s="505"/>
      <c r="BH93" s="505"/>
      <c r="BI93" s="505"/>
      <c r="BJ93" s="505"/>
      <c r="BK93" s="505"/>
      <c r="BL93" s="505"/>
      <c r="BM93" s="505"/>
    </row>
    <row r="94" spans="1:65" ht="9.9499999999999993" customHeight="1">
      <c r="A94" s="505"/>
      <c r="B94" s="505"/>
      <c r="C94" s="505"/>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c r="AG94" s="505"/>
      <c r="AH94" s="505"/>
      <c r="AI94" s="505"/>
      <c r="AJ94" s="505"/>
      <c r="AK94" s="505"/>
      <c r="AL94" s="505"/>
      <c r="AM94" s="505"/>
      <c r="AN94" s="505"/>
      <c r="AO94" s="505"/>
      <c r="AP94" s="505"/>
      <c r="AQ94" s="505"/>
      <c r="AR94" s="505"/>
      <c r="AS94" s="505"/>
      <c r="AT94" s="505"/>
      <c r="AU94" s="505"/>
      <c r="AV94" s="505"/>
      <c r="AW94" s="505"/>
      <c r="AX94" s="505"/>
      <c r="AY94" s="505"/>
      <c r="AZ94" s="505"/>
      <c r="BA94" s="505"/>
      <c r="BB94" s="505"/>
      <c r="BC94" s="505"/>
      <c r="BD94" s="505"/>
      <c r="BE94" s="505"/>
      <c r="BF94" s="505"/>
      <c r="BG94" s="505"/>
      <c r="BH94" s="505"/>
      <c r="BI94" s="505"/>
      <c r="BJ94" s="505"/>
      <c r="BK94" s="505"/>
      <c r="BL94" s="505"/>
      <c r="BM94" s="505"/>
    </row>
    <row r="95" spans="1:65" ht="9.9499999999999993" customHeight="1">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row>
    <row r="96" spans="1:65" ht="9.9499999999999993" customHeight="1">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c r="AM96" s="505"/>
      <c r="AN96" s="505"/>
      <c r="AO96" s="505"/>
      <c r="AP96" s="505"/>
      <c r="AQ96" s="505"/>
      <c r="AR96" s="505"/>
      <c r="AS96" s="505"/>
      <c r="AT96" s="505"/>
      <c r="AU96" s="505"/>
      <c r="AV96" s="505"/>
      <c r="AW96" s="505"/>
      <c r="AX96" s="505"/>
      <c r="AY96" s="505"/>
      <c r="AZ96" s="505"/>
      <c r="BA96" s="505"/>
      <c r="BB96" s="505"/>
      <c r="BC96" s="505"/>
      <c r="BD96" s="505"/>
      <c r="BE96" s="505"/>
      <c r="BF96" s="505"/>
      <c r="BG96" s="505"/>
      <c r="BH96" s="505"/>
      <c r="BI96" s="505"/>
      <c r="BJ96" s="505"/>
      <c r="BK96" s="505"/>
      <c r="BL96" s="505"/>
      <c r="BM96" s="505"/>
    </row>
    <row r="97" spans="1:65" ht="9.9499999999999993" customHeight="1">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505"/>
      <c r="AD97" s="505"/>
      <c r="AE97" s="505"/>
      <c r="AF97" s="505"/>
      <c r="AG97" s="505"/>
      <c r="AH97" s="505"/>
      <c r="AI97" s="505"/>
      <c r="AJ97" s="505"/>
      <c r="AK97" s="505"/>
      <c r="AL97" s="505"/>
      <c r="AM97" s="505"/>
      <c r="AN97" s="505"/>
      <c r="AO97" s="505"/>
      <c r="AP97" s="505"/>
      <c r="AQ97" s="505"/>
      <c r="AR97" s="505"/>
      <c r="AS97" s="505"/>
      <c r="AT97" s="505"/>
      <c r="AU97" s="505"/>
      <c r="AV97" s="505"/>
      <c r="AW97" s="505"/>
      <c r="AX97" s="505"/>
      <c r="AY97" s="505"/>
      <c r="AZ97" s="505"/>
      <c r="BA97" s="505"/>
      <c r="BB97" s="505"/>
      <c r="BC97" s="505"/>
      <c r="BD97" s="505"/>
      <c r="BE97" s="505"/>
      <c r="BF97" s="505"/>
      <c r="BG97" s="505"/>
      <c r="BH97" s="505"/>
      <c r="BI97" s="505"/>
      <c r="BJ97" s="505"/>
      <c r="BK97" s="505"/>
      <c r="BL97" s="505"/>
      <c r="BM97" s="505"/>
    </row>
    <row r="98" spans="1:65" ht="9.9499999999999993" customHeight="1">
      <c r="A98" s="505"/>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505"/>
      <c r="AE98" s="505"/>
      <c r="AF98" s="505"/>
      <c r="AG98" s="505"/>
      <c r="AH98" s="505"/>
      <c r="AI98" s="505"/>
      <c r="AJ98" s="505"/>
      <c r="AK98" s="505"/>
      <c r="AL98" s="505"/>
      <c r="AM98" s="505"/>
      <c r="AN98" s="505"/>
      <c r="AO98" s="505"/>
      <c r="AP98" s="505"/>
      <c r="AQ98" s="505"/>
      <c r="AR98" s="505"/>
      <c r="AS98" s="505"/>
      <c r="AT98" s="505"/>
      <c r="AU98" s="505"/>
      <c r="AV98" s="505"/>
      <c r="AW98" s="505"/>
      <c r="AX98" s="505"/>
      <c r="AY98" s="505"/>
      <c r="AZ98" s="505"/>
      <c r="BA98" s="505"/>
      <c r="BB98" s="505"/>
      <c r="BC98" s="505"/>
      <c r="BD98" s="505"/>
      <c r="BE98" s="505"/>
      <c r="BF98" s="505"/>
      <c r="BG98" s="505"/>
      <c r="BH98" s="505"/>
      <c r="BI98" s="505"/>
      <c r="BJ98" s="505"/>
      <c r="BK98" s="505"/>
      <c r="BL98" s="505"/>
      <c r="BM98" s="505"/>
    </row>
    <row r="99" spans="1:65" ht="9.9499999999999993" customHeight="1">
      <c r="A99" s="505"/>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row>
    <row r="100" spans="1:65" ht="9.9499999999999993" customHeight="1">
      <c r="A100" s="505"/>
      <c r="B100" s="505"/>
      <c r="C100" s="505"/>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505"/>
      <c r="AE100" s="505"/>
      <c r="AF100" s="505"/>
      <c r="AG100" s="505"/>
      <c r="AH100" s="505"/>
      <c r="AI100" s="505"/>
      <c r="AJ100" s="505"/>
      <c r="AK100" s="505"/>
      <c r="AL100" s="505"/>
      <c r="AM100" s="505"/>
      <c r="AN100" s="505"/>
      <c r="AO100" s="505"/>
      <c r="AP100" s="505"/>
      <c r="AQ100" s="505"/>
      <c r="AR100" s="505"/>
      <c r="AS100" s="505"/>
      <c r="AT100" s="505"/>
      <c r="AU100" s="505"/>
      <c r="AV100" s="505"/>
      <c r="AW100" s="505"/>
      <c r="AX100" s="505"/>
      <c r="AY100" s="505"/>
      <c r="AZ100" s="505"/>
      <c r="BA100" s="505"/>
      <c r="BB100" s="505"/>
      <c r="BC100" s="505"/>
      <c r="BD100" s="505"/>
      <c r="BE100" s="505"/>
      <c r="BF100" s="505"/>
      <c r="BG100" s="505"/>
      <c r="BH100" s="505"/>
      <c r="BI100" s="505"/>
      <c r="BJ100" s="505"/>
      <c r="BK100" s="505"/>
      <c r="BL100" s="505"/>
      <c r="BM100" s="505"/>
    </row>
    <row r="101" spans="1:65" ht="9.9499999999999993" customHeight="1">
      <c r="A101" s="505"/>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5"/>
      <c r="AE101" s="505"/>
      <c r="AF101" s="505"/>
      <c r="AG101" s="505"/>
      <c r="AH101" s="505"/>
      <c r="AI101" s="505"/>
      <c r="AJ101" s="505"/>
      <c r="AK101" s="505"/>
      <c r="AL101" s="505"/>
      <c r="AM101" s="505"/>
      <c r="AN101" s="505"/>
      <c r="AO101" s="505"/>
      <c r="AP101" s="505"/>
      <c r="AQ101" s="505"/>
      <c r="AR101" s="505"/>
      <c r="AS101" s="505"/>
      <c r="AT101" s="505"/>
      <c r="AU101" s="505"/>
      <c r="AV101" s="505"/>
      <c r="AW101" s="505"/>
      <c r="AX101" s="505"/>
      <c r="AY101" s="505"/>
      <c r="AZ101" s="505"/>
      <c r="BA101" s="505"/>
      <c r="BB101" s="505"/>
      <c r="BC101" s="505"/>
      <c r="BD101" s="505"/>
      <c r="BE101" s="505"/>
      <c r="BF101" s="505"/>
      <c r="BG101" s="505"/>
      <c r="BH101" s="505"/>
      <c r="BI101" s="505"/>
      <c r="BJ101" s="505"/>
      <c r="BK101" s="505"/>
      <c r="BL101" s="505"/>
      <c r="BM101" s="505"/>
    </row>
    <row r="102" spans="1:65" ht="9.9499999999999993" customHeight="1">
      <c r="A102" s="505"/>
      <c r="B102" s="505"/>
      <c r="C102" s="50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505"/>
      <c r="AE102" s="505"/>
      <c r="AF102" s="505"/>
      <c r="AG102" s="505"/>
      <c r="AH102" s="505"/>
      <c r="AI102" s="505"/>
      <c r="AJ102" s="505"/>
      <c r="AK102" s="505"/>
      <c r="AL102" s="505"/>
      <c r="AM102" s="505"/>
      <c r="AN102" s="505"/>
      <c r="AO102" s="505"/>
      <c r="AP102" s="505"/>
      <c r="AQ102" s="505"/>
      <c r="AR102" s="505"/>
      <c r="AS102" s="505"/>
      <c r="AT102" s="505"/>
      <c r="AU102" s="505"/>
      <c r="AV102" s="505"/>
      <c r="AW102" s="505"/>
      <c r="AX102" s="505"/>
      <c r="AY102" s="505"/>
      <c r="AZ102" s="505"/>
      <c r="BA102" s="505"/>
      <c r="BB102" s="505"/>
      <c r="BC102" s="505"/>
      <c r="BD102" s="505"/>
      <c r="BE102" s="505"/>
      <c r="BF102" s="505"/>
      <c r="BG102" s="505"/>
      <c r="BH102" s="505"/>
      <c r="BI102" s="505"/>
      <c r="BJ102" s="505"/>
      <c r="BK102" s="505"/>
      <c r="BL102" s="505"/>
      <c r="BM102" s="505"/>
    </row>
    <row r="103" spans="1:65" ht="9.9499999999999993" customHeight="1">
      <c r="A103" s="505"/>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5"/>
      <c r="AV103" s="505"/>
      <c r="AW103" s="505"/>
      <c r="AX103" s="505"/>
      <c r="AY103" s="505"/>
      <c r="AZ103" s="505"/>
      <c r="BA103" s="505"/>
      <c r="BB103" s="505"/>
      <c r="BC103" s="505"/>
      <c r="BD103" s="505"/>
      <c r="BE103" s="505"/>
      <c r="BF103" s="505"/>
      <c r="BG103" s="505"/>
      <c r="BH103" s="505"/>
      <c r="BI103" s="505"/>
      <c r="BJ103" s="505"/>
      <c r="BK103" s="505"/>
      <c r="BL103" s="505"/>
      <c r="BM103" s="505"/>
    </row>
    <row r="104" spans="1:65" ht="9.9499999999999993" customHeight="1">
      <c r="A104" s="505"/>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row>
    <row r="105" spans="1:65" ht="9.9499999999999993" customHeight="1">
      <c r="A105" s="505"/>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c r="AG105" s="505"/>
      <c r="AH105" s="505"/>
      <c r="AI105" s="505"/>
      <c r="AJ105" s="505"/>
      <c r="AK105" s="505"/>
      <c r="AL105" s="505"/>
      <c r="AM105" s="505"/>
      <c r="AN105" s="505"/>
      <c r="AO105" s="505"/>
      <c r="AP105" s="505"/>
      <c r="AQ105" s="505"/>
      <c r="AR105" s="505"/>
      <c r="AS105" s="505"/>
      <c r="AT105" s="505"/>
      <c r="AU105" s="505"/>
      <c r="AV105" s="505"/>
      <c r="AW105" s="505"/>
      <c r="AX105" s="505"/>
      <c r="AY105" s="505"/>
      <c r="AZ105" s="505"/>
      <c r="BA105" s="505"/>
      <c r="BB105" s="505"/>
      <c r="BC105" s="505"/>
      <c r="BD105" s="505"/>
      <c r="BE105" s="505"/>
      <c r="BF105" s="505"/>
      <c r="BG105" s="505"/>
      <c r="BH105" s="505"/>
      <c r="BI105" s="505"/>
      <c r="BJ105" s="505"/>
      <c r="BK105" s="505"/>
      <c r="BL105" s="505"/>
      <c r="BM105" s="505"/>
    </row>
    <row r="106" spans="1:65" ht="9.9499999999999993" customHeight="1">
      <c r="A106" s="505"/>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c r="AG106" s="505"/>
      <c r="AH106" s="505"/>
      <c r="AI106" s="505"/>
      <c r="AJ106" s="505"/>
      <c r="AK106" s="505"/>
      <c r="AL106" s="505"/>
      <c r="AM106" s="505"/>
      <c r="AN106" s="505"/>
      <c r="AO106" s="505"/>
      <c r="AP106" s="505"/>
      <c r="AQ106" s="505"/>
      <c r="AR106" s="505"/>
      <c r="AS106" s="505"/>
      <c r="AT106" s="505"/>
      <c r="AU106" s="505"/>
      <c r="AV106" s="505"/>
      <c r="AW106" s="505"/>
      <c r="AX106" s="505"/>
      <c r="AY106" s="505"/>
      <c r="AZ106" s="505"/>
      <c r="BA106" s="505"/>
      <c r="BB106" s="505"/>
      <c r="BC106" s="505"/>
      <c r="BD106" s="505"/>
      <c r="BE106" s="505"/>
      <c r="BF106" s="505"/>
      <c r="BG106" s="505"/>
      <c r="BH106" s="505"/>
      <c r="BI106" s="505"/>
      <c r="BJ106" s="505"/>
      <c r="BK106" s="505"/>
      <c r="BL106" s="505"/>
      <c r="BM106" s="505"/>
    </row>
    <row r="107" spans="1:65" ht="9.9499999999999993"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505"/>
      <c r="AG107" s="505"/>
      <c r="AH107" s="505"/>
      <c r="AI107" s="505"/>
      <c r="AJ107" s="505"/>
      <c r="AK107" s="505"/>
      <c r="AL107" s="505"/>
      <c r="AM107" s="505"/>
      <c r="AN107" s="505"/>
      <c r="AO107" s="505"/>
      <c r="AP107" s="505"/>
      <c r="AQ107" s="505"/>
      <c r="AR107" s="505"/>
      <c r="AS107" s="505"/>
      <c r="AT107" s="505"/>
      <c r="AU107" s="505"/>
      <c r="AV107" s="505"/>
      <c r="AW107" s="505"/>
      <c r="AX107" s="505"/>
      <c r="AY107" s="505"/>
      <c r="AZ107" s="505"/>
      <c r="BA107" s="505"/>
      <c r="BB107" s="505"/>
      <c r="BC107" s="505"/>
      <c r="BD107" s="505"/>
      <c r="BE107" s="505"/>
      <c r="BF107" s="505"/>
      <c r="BG107" s="505"/>
      <c r="BH107" s="505"/>
      <c r="BI107" s="505"/>
      <c r="BJ107" s="505"/>
      <c r="BK107" s="505"/>
      <c r="BL107" s="505"/>
      <c r="BM107" s="505"/>
    </row>
    <row r="108" spans="1:65" ht="9.9499999999999993" customHeight="1">
      <c r="A108" s="505"/>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505"/>
      <c r="AE108" s="505"/>
      <c r="AF108" s="505"/>
      <c r="AG108" s="505"/>
      <c r="AH108" s="505"/>
      <c r="AI108" s="505"/>
      <c r="AJ108" s="505"/>
      <c r="AK108" s="505"/>
      <c r="AL108" s="505"/>
      <c r="AM108" s="505"/>
      <c r="AN108" s="505"/>
      <c r="AO108" s="505"/>
      <c r="AP108" s="505"/>
      <c r="AQ108" s="505"/>
      <c r="AR108" s="505"/>
      <c r="AS108" s="505"/>
      <c r="AT108" s="505"/>
      <c r="AU108" s="505"/>
      <c r="AV108" s="505"/>
      <c r="AW108" s="505"/>
      <c r="AX108" s="505"/>
      <c r="AY108" s="505"/>
      <c r="AZ108" s="505"/>
      <c r="BA108" s="505"/>
      <c r="BB108" s="505"/>
      <c r="BC108" s="505"/>
      <c r="BD108" s="505"/>
      <c r="BE108" s="505"/>
      <c r="BF108" s="505"/>
      <c r="BG108" s="505"/>
      <c r="BH108" s="505"/>
      <c r="BI108" s="505"/>
      <c r="BJ108" s="505"/>
      <c r="BK108" s="505"/>
      <c r="BL108" s="505"/>
      <c r="BM108" s="505"/>
    </row>
    <row r="109" spans="1:65" ht="9.9499999999999993" customHeight="1">
      <c r="A109" s="505"/>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5"/>
      <c r="AN109" s="505"/>
      <c r="AO109" s="505"/>
      <c r="AP109" s="505"/>
      <c r="AQ109" s="505"/>
      <c r="AR109" s="505"/>
      <c r="AS109" s="505"/>
      <c r="AT109" s="505"/>
      <c r="AU109" s="505"/>
      <c r="AV109" s="505"/>
      <c r="AW109" s="505"/>
      <c r="AX109" s="505"/>
      <c r="AY109" s="505"/>
      <c r="AZ109" s="505"/>
      <c r="BA109" s="505"/>
      <c r="BB109" s="505"/>
      <c r="BC109" s="505"/>
      <c r="BD109" s="505"/>
      <c r="BE109" s="505"/>
      <c r="BF109" s="505"/>
      <c r="BG109" s="505"/>
      <c r="BH109" s="505"/>
      <c r="BI109" s="505"/>
      <c r="BJ109" s="505"/>
      <c r="BK109" s="505"/>
      <c r="BL109" s="505"/>
      <c r="BM109" s="505"/>
    </row>
    <row r="110" spans="1:65" ht="9.9499999999999993" customHeight="1">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row>
    <row r="111" spans="1:65" ht="9.9499999999999993" customHeight="1">
      <c r="A111" s="505"/>
      <c r="B111" s="505"/>
      <c r="C111" s="505"/>
      <c r="D111" s="505"/>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505"/>
      <c r="AD111" s="505"/>
      <c r="AE111" s="505"/>
      <c r="AF111" s="505"/>
      <c r="AG111" s="505"/>
      <c r="AH111" s="505"/>
      <c r="AI111" s="505"/>
      <c r="AJ111" s="505"/>
      <c r="AK111" s="505"/>
      <c r="AL111" s="505"/>
      <c r="AM111" s="505"/>
      <c r="AN111" s="505"/>
      <c r="AO111" s="505"/>
      <c r="AP111" s="505"/>
      <c r="AQ111" s="505"/>
      <c r="AR111" s="505"/>
      <c r="AS111" s="505"/>
      <c r="AT111" s="505"/>
      <c r="AU111" s="505"/>
      <c r="AV111" s="505"/>
      <c r="AW111" s="505"/>
      <c r="AX111" s="505"/>
      <c r="AY111" s="505"/>
      <c r="AZ111" s="505"/>
      <c r="BA111" s="505"/>
      <c r="BB111" s="505"/>
      <c r="BC111" s="505"/>
      <c r="BD111" s="505"/>
      <c r="BE111" s="505"/>
      <c r="BF111" s="505"/>
      <c r="BG111" s="505"/>
      <c r="BH111" s="505"/>
      <c r="BI111" s="505"/>
      <c r="BJ111" s="505"/>
      <c r="BK111" s="505"/>
      <c r="BL111" s="505"/>
      <c r="BM111" s="505"/>
    </row>
    <row r="112" spans="1:65" ht="9.9499999999999993" customHeight="1">
      <c r="A112" s="505"/>
      <c r="B112" s="505"/>
      <c r="C112" s="505"/>
      <c r="D112" s="505"/>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505"/>
      <c r="AD112" s="505"/>
      <c r="AE112" s="505"/>
      <c r="AF112" s="505"/>
      <c r="AG112" s="505"/>
      <c r="AH112" s="505"/>
      <c r="AI112" s="505"/>
      <c r="AJ112" s="505"/>
      <c r="AK112" s="505"/>
      <c r="AL112" s="505"/>
      <c r="AM112" s="505"/>
      <c r="AN112" s="505"/>
      <c r="AO112" s="505"/>
      <c r="AP112" s="505"/>
      <c r="AQ112" s="505"/>
      <c r="AR112" s="505"/>
      <c r="AS112" s="505"/>
      <c r="AT112" s="505"/>
      <c r="AU112" s="505"/>
      <c r="AV112" s="505"/>
      <c r="AW112" s="505"/>
      <c r="AX112" s="505"/>
      <c r="AY112" s="505"/>
      <c r="AZ112" s="505"/>
      <c r="BA112" s="505"/>
      <c r="BB112" s="505"/>
      <c r="BC112" s="505"/>
      <c r="BD112" s="505"/>
      <c r="BE112" s="505"/>
      <c r="BF112" s="505"/>
      <c r="BG112" s="505"/>
      <c r="BH112" s="505"/>
      <c r="BI112" s="505"/>
      <c r="BJ112" s="505"/>
      <c r="BK112" s="505"/>
      <c r="BL112" s="505"/>
      <c r="BM112" s="505"/>
    </row>
    <row r="113" spans="1:65" ht="9.9499999999999993" customHeight="1">
      <c r="A113" s="50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5"/>
      <c r="AV113" s="505"/>
      <c r="AW113" s="505"/>
      <c r="AX113" s="505"/>
      <c r="AY113" s="505"/>
      <c r="AZ113" s="505"/>
      <c r="BA113" s="505"/>
      <c r="BB113" s="505"/>
      <c r="BC113" s="505"/>
      <c r="BD113" s="505"/>
      <c r="BE113" s="505"/>
      <c r="BF113" s="505"/>
      <c r="BG113" s="505"/>
      <c r="BH113" s="505"/>
      <c r="BI113" s="505"/>
      <c r="BJ113" s="505"/>
      <c r="BK113" s="505"/>
      <c r="BL113" s="505"/>
      <c r="BM113" s="505"/>
    </row>
    <row r="114" spans="1:65" ht="9.9499999999999993" customHeight="1">
      <c r="A114" s="505"/>
      <c r="B114" s="505"/>
      <c r="C114" s="505"/>
      <c r="D114" s="505"/>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505"/>
      <c r="AD114" s="505"/>
      <c r="AE114" s="505"/>
      <c r="AF114" s="505"/>
      <c r="AG114" s="505"/>
      <c r="AH114" s="505"/>
      <c r="AI114" s="505"/>
      <c r="AJ114" s="505"/>
      <c r="AK114" s="505"/>
      <c r="AL114" s="505"/>
      <c r="AM114" s="505"/>
      <c r="AN114" s="505"/>
      <c r="AO114" s="505"/>
      <c r="AP114" s="505"/>
      <c r="AQ114" s="505"/>
      <c r="AR114" s="505"/>
      <c r="AS114" s="505"/>
      <c r="AT114" s="505"/>
      <c r="AU114" s="505"/>
      <c r="AV114" s="505"/>
      <c r="AW114" s="505"/>
      <c r="AX114" s="505"/>
      <c r="AY114" s="505"/>
      <c r="AZ114" s="505"/>
      <c r="BA114" s="505"/>
      <c r="BB114" s="505"/>
      <c r="BC114" s="505"/>
      <c r="BD114" s="505"/>
      <c r="BE114" s="505"/>
      <c r="BF114" s="505"/>
      <c r="BG114" s="505"/>
      <c r="BH114" s="505"/>
      <c r="BI114" s="505"/>
      <c r="BJ114" s="505"/>
      <c r="BK114" s="505"/>
      <c r="BL114" s="505"/>
      <c r="BM114" s="505"/>
    </row>
    <row r="115" spans="1:65" ht="9.9499999999999993" customHeight="1">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505"/>
      <c r="AE115" s="505"/>
      <c r="AF115" s="505"/>
      <c r="AG115" s="505"/>
      <c r="AH115" s="505"/>
      <c r="AI115" s="505"/>
      <c r="AJ115" s="505"/>
      <c r="AK115" s="505"/>
      <c r="AL115" s="505"/>
      <c r="AM115" s="505"/>
      <c r="AN115" s="505"/>
      <c r="AO115" s="505"/>
      <c r="AP115" s="505"/>
      <c r="AQ115" s="505"/>
      <c r="AR115" s="505"/>
      <c r="AS115" s="505"/>
      <c r="AT115" s="505"/>
      <c r="AU115" s="505"/>
      <c r="AV115" s="505"/>
      <c r="AW115" s="505"/>
      <c r="AX115" s="505"/>
      <c r="AY115" s="505"/>
      <c r="AZ115" s="505"/>
      <c r="BA115" s="505"/>
      <c r="BB115" s="505"/>
      <c r="BC115" s="505"/>
      <c r="BD115" s="505"/>
      <c r="BE115" s="505"/>
      <c r="BF115" s="505"/>
      <c r="BG115" s="505"/>
      <c r="BH115" s="505"/>
      <c r="BI115" s="505"/>
      <c r="BJ115" s="505"/>
      <c r="BK115" s="505"/>
      <c r="BL115" s="505"/>
      <c r="BM115" s="505"/>
    </row>
    <row r="116" spans="1:65" ht="9.9499999999999993" customHeight="1">
      <c r="A116" s="505"/>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5"/>
      <c r="AE116" s="505"/>
      <c r="AF116" s="505"/>
      <c r="AG116" s="505"/>
      <c r="AH116" s="505"/>
      <c r="AI116" s="505"/>
      <c r="AJ116" s="505"/>
      <c r="AK116" s="505"/>
      <c r="AL116" s="505"/>
      <c r="AM116" s="505"/>
      <c r="AN116" s="505"/>
      <c r="AO116" s="505"/>
      <c r="AP116" s="505"/>
      <c r="AQ116" s="505"/>
      <c r="AR116" s="505"/>
      <c r="AS116" s="505"/>
      <c r="AT116" s="505"/>
      <c r="AU116" s="505"/>
      <c r="AV116" s="505"/>
      <c r="AW116" s="505"/>
      <c r="AX116" s="505"/>
      <c r="AY116" s="505"/>
      <c r="AZ116" s="505"/>
      <c r="BA116" s="505"/>
      <c r="BB116" s="505"/>
      <c r="BC116" s="505"/>
      <c r="BD116" s="505"/>
      <c r="BE116" s="505"/>
      <c r="BF116" s="505"/>
      <c r="BG116" s="505"/>
      <c r="BH116" s="505"/>
      <c r="BI116" s="505"/>
      <c r="BJ116" s="505"/>
      <c r="BK116" s="505"/>
      <c r="BL116" s="505"/>
      <c r="BM116" s="505"/>
    </row>
    <row r="117" spans="1:65" ht="9.9499999999999993" customHeight="1">
      <c r="A117" s="505"/>
      <c r="B117" s="505"/>
      <c r="C117" s="505"/>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505"/>
      <c r="AE117" s="505"/>
      <c r="AF117" s="505"/>
      <c r="AG117" s="505"/>
      <c r="AH117" s="505"/>
      <c r="AI117" s="505"/>
      <c r="AJ117" s="505"/>
      <c r="AK117" s="505"/>
      <c r="AL117" s="505"/>
      <c r="AM117" s="505"/>
      <c r="AN117" s="505"/>
      <c r="AO117" s="505"/>
      <c r="AP117" s="505"/>
      <c r="AQ117" s="505"/>
      <c r="AR117" s="505"/>
      <c r="AS117" s="505"/>
      <c r="AT117" s="505"/>
      <c r="AU117" s="505"/>
      <c r="AV117" s="505"/>
      <c r="AW117" s="505"/>
      <c r="AX117" s="505"/>
      <c r="AY117" s="505"/>
      <c r="AZ117" s="505"/>
      <c r="BA117" s="505"/>
      <c r="BB117" s="505"/>
      <c r="BC117" s="505"/>
      <c r="BD117" s="505"/>
      <c r="BE117" s="505"/>
      <c r="BF117" s="505"/>
      <c r="BG117" s="505"/>
      <c r="BH117" s="505"/>
      <c r="BI117" s="505"/>
      <c r="BJ117" s="505"/>
      <c r="BK117" s="505"/>
      <c r="BL117" s="505"/>
      <c r="BM117" s="505"/>
    </row>
    <row r="118" spans="1:65" ht="9.9499999999999993" customHeight="1">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row>
    <row r="119" spans="1:65" ht="9.9499999999999993" customHeight="1">
      <c r="A119" s="505"/>
      <c r="B119" s="505"/>
      <c r="C119" s="505"/>
      <c r="D119" s="505"/>
      <c r="E119" s="505"/>
      <c r="F119" s="505"/>
      <c r="G119" s="505"/>
      <c r="H119" s="505"/>
      <c r="I119" s="505"/>
      <c r="J119" s="505"/>
      <c r="K119" s="505"/>
      <c r="L119" s="505"/>
      <c r="M119" s="505"/>
      <c r="N119" s="505"/>
      <c r="O119" s="505"/>
      <c r="P119" s="505"/>
      <c r="Q119" s="505"/>
      <c r="R119" s="505"/>
      <c r="S119" s="505"/>
      <c r="T119" s="505"/>
      <c r="U119" s="505"/>
      <c r="V119" s="505"/>
      <c r="W119" s="505"/>
      <c r="X119" s="505"/>
      <c r="Y119" s="505"/>
      <c r="Z119" s="505"/>
      <c r="AA119" s="505"/>
      <c r="AB119" s="505"/>
      <c r="AC119" s="505"/>
      <c r="AD119" s="505"/>
      <c r="AE119" s="505"/>
      <c r="AF119" s="505"/>
      <c r="AG119" s="505"/>
      <c r="AH119" s="505"/>
      <c r="AI119" s="505"/>
      <c r="AJ119" s="505"/>
      <c r="AK119" s="505"/>
      <c r="AL119" s="505"/>
      <c r="AM119" s="505"/>
      <c r="AN119" s="505"/>
      <c r="AO119" s="505"/>
      <c r="AP119" s="505"/>
      <c r="AQ119" s="505"/>
      <c r="AR119" s="505"/>
      <c r="AS119" s="505"/>
      <c r="AT119" s="505"/>
      <c r="AU119" s="505"/>
      <c r="AV119" s="505"/>
      <c r="AW119" s="505"/>
      <c r="AX119" s="505"/>
      <c r="AY119" s="505"/>
      <c r="AZ119" s="505"/>
      <c r="BA119" s="505"/>
      <c r="BB119" s="505"/>
      <c r="BC119" s="505"/>
      <c r="BD119" s="505"/>
      <c r="BE119" s="505"/>
      <c r="BF119" s="505"/>
      <c r="BG119" s="505"/>
      <c r="BH119" s="505"/>
      <c r="BI119" s="505"/>
      <c r="BJ119" s="505"/>
      <c r="BK119" s="505"/>
      <c r="BL119" s="505"/>
      <c r="BM119" s="505"/>
    </row>
    <row r="120" spans="1:65" ht="9.9499999999999993" customHeight="1">
      <c r="A120" s="505"/>
      <c r="B120" s="505"/>
      <c r="C120" s="505"/>
      <c r="D120" s="505"/>
      <c r="E120" s="505"/>
      <c r="F120" s="505"/>
      <c r="G120" s="505"/>
      <c r="H120" s="505"/>
      <c r="I120" s="505"/>
      <c r="J120" s="505"/>
      <c r="K120" s="505"/>
      <c r="L120" s="505"/>
      <c r="M120" s="505"/>
      <c r="N120" s="505"/>
      <c r="O120" s="505"/>
      <c r="P120" s="505"/>
      <c r="Q120" s="505"/>
      <c r="R120" s="505"/>
      <c r="S120" s="505"/>
      <c r="T120" s="505"/>
      <c r="U120" s="505"/>
      <c r="V120" s="505"/>
      <c r="W120" s="505"/>
      <c r="X120" s="505"/>
      <c r="Y120" s="505"/>
      <c r="Z120" s="505"/>
      <c r="AA120" s="505"/>
      <c r="AB120" s="505"/>
      <c r="AC120" s="505"/>
      <c r="AD120" s="505"/>
      <c r="AE120" s="505"/>
      <c r="AF120" s="505"/>
      <c r="AG120" s="505"/>
      <c r="AH120" s="505"/>
      <c r="AI120" s="505"/>
      <c r="AJ120" s="505"/>
      <c r="AK120" s="505"/>
      <c r="AL120" s="505"/>
      <c r="AM120" s="505"/>
      <c r="AN120" s="505"/>
      <c r="AO120" s="505"/>
      <c r="AP120" s="505"/>
      <c r="AQ120" s="505"/>
      <c r="AR120" s="505"/>
      <c r="AS120" s="505"/>
      <c r="AT120" s="505"/>
      <c r="AU120" s="505"/>
      <c r="AV120" s="505"/>
      <c r="AW120" s="505"/>
      <c r="AX120" s="505"/>
      <c r="AY120" s="505"/>
      <c r="AZ120" s="505"/>
      <c r="BA120" s="505"/>
      <c r="BB120" s="505"/>
      <c r="BC120" s="505"/>
      <c r="BD120" s="505"/>
      <c r="BE120" s="505"/>
      <c r="BF120" s="505"/>
      <c r="BG120" s="505"/>
      <c r="BH120" s="505"/>
      <c r="BI120" s="505"/>
      <c r="BJ120" s="505"/>
      <c r="BK120" s="505"/>
      <c r="BL120" s="505"/>
      <c r="BM120" s="505"/>
    </row>
    <row r="121" spans="1:65" ht="9.9499999999999993" customHeight="1">
      <c r="A121" s="505"/>
      <c r="B121" s="505"/>
      <c r="C121" s="505"/>
      <c r="D121" s="505"/>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505"/>
      <c r="AE121" s="505"/>
      <c r="AF121" s="505"/>
      <c r="AG121" s="505"/>
      <c r="AH121" s="505"/>
      <c r="AI121" s="505"/>
      <c r="AJ121" s="505"/>
      <c r="AK121" s="505"/>
      <c r="AL121" s="505"/>
      <c r="AM121" s="505"/>
      <c r="AN121" s="505"/>
      <c r="AO121" s="505"/>
      <c r="AP121" s="505"/>
      <c r="AQ121" s="505"/>
      <c r="AR121" s="505"/>
      <c r="AS121" s="505"/>
      <c r="AT121" s="505"/>
      <c r="AU121" s="505"/>
      <c r="AV121" s="505"/>
      <c r="AW121" s="505"/>
      <c r="AX121" s="505"/>
      <c r="AY121" s="505"/>
      <c r="AZ121" s="505"/>
      <c r="BA121" s="505"/>
      <c r="BB121" s="505"/>
      <c r="BC121" s="505"/>
      <c r="BD121" s="505"/>
      <c r="BE121" s="505"/>
      <c r="BF121" s="505"/>
      <c r="BG121" s="505"/>
      <c r="BH121" s="505"/>
      <c r="BI121" s="505"/>
      <c r="BJ121" s="505"/>
      <c r="BK121" s="505"/>
      <c r="BL121" s="505"/>
      <c r="BM121" s="505"/>
    </row>
    <row r="122" spans="1:65" ht="9.9499999999999993" customHeight="1">
      <c r="A122" s="505"/>
      <c r="B122" s="505"/>
      <c r="C122" s="505"/>
      <c r="D122" s="505"/>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505"/>
      <c r="AE122" s="505"/>
      <c r="AF122" s="505"/>
      <c r="AG122" s="505"/>
      <c r="AH122" s="505"/>
      <c r="AI122" s="505"/>
      <c r="AJ122" s="505"/>
      <c r="AK122" s="505"/>
      <c r="AL122" s="505"/>
      <c r="AM122" s="505"/>
      <c r="AN122" s="505"/>
      <c r="AO122" s="505"/>
      <c r="AP122" s="505"/>
      <c r="AQ122" s="505"/>
      <c r="AR122" s="505"/>
      <c r="AS122" s="505"/>
      <c r="AT122" s="505"/>
      <c r="AU122" s="505"/>
      <c r="AV122" s="505"/>
      <c r="AW122" s="505"/>
      <c r="AX122" s="505"/>
      <c r="AY122" s="505"/>
      <c r="AZ122" s="505"/>
      <c r="BA122" s="505"/>
      <c r="BB122" s="505"/>
      <c r="BC122" s="505"/>
      <c r="BD122" s="505"/>
      <c r="BE122" s="505"/>
      <c r="BF122" s="505"/>
      <c r="BG122" s="505"/>
      <c r="BH122" s="505"/>
      <c r="BI122" s="505"/>
      <c r="BJ122" s="505"/>
      <c r="BK122" s="505"/>
      <c r="BL122" s="505"/>
      <c r="BM122" s="505"/>
    </row>
    <row r="123" spans="1:65" ht="9.9499999999999993" customHeight="1">
      <c r="A123" s="505"/>
      <c r="B123" s="505"/>
      <c r="C123" s="505"/>
      <c r="D123" s="505"/>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c r="AG123" s="505"/>
      <c r="AH123" s="505"/>
      <c r="AI123" s="505"/>
      <c r="AJ123" s="505"/>
      <c r="AK123" s="505"/>
      <c r="AL123" s="505"/>
      <c r="AM123" s="505"/>
      <c r="AN123" s="505"/>
      <c r="AO123" s="505"/>
      <c r="AP123" s="505"/>
      <c r="AQ123" s="505"/>
      <c r="AR123" s="505"/>
      <c r="AS123" s="505"/>
      <c r="AT123" s="505"/>
      <c r="AU123" s="505"/>
      <c r="AV123" s="505"/>
      <c r="AW123" s="505"/>
      <c r="AX123" s="505"/>
      <c r="AY123" s="505"/>
      <c r="AZ123" s="505"/>
      <c r="BA123" s="505"/>
      <c r="BB123" s="505"/>
      <c r="BC123" s="505"/>
      <c r="BD123" s="505"/>
      <c r="BE123" s="505"/>
      <c r="BF123" s="505"/>
      <c r="BG123" s="505"/>
      <c r="BH123" s="505"/>
      <c r="BI123" s="505"/>
      <c r="BJ123" s="505"/>
      <c r="BK123" s="505"/>
      <c r="BL123" s="505"/>
      <c r="BM123" s="505"/>
    </row>
    <row r="124" spans="1:65" ht="9.9499999999999993" customHeight="1">
      <c r="A124" s="505"/>
      <c r="B124" s="505"/>
      <c r="C124" s="505"/>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c r="AG124" s="505"/>
      <c r="AH124" s="505"/>
      <c r="AI124" s="505"/>
      <c r="AJ124" s="505"/>
      <c r="AK124" s="505"/>
      <c r="AL124" s="505"/>
      <c r="AM124" s="505"/>
      <c r="AN124" s="505"/>
      <c r="AO124" s="505"/>
      <c r="AP124" s="505"/>
      <c r="AQ124" s="505"/>
      <c r="AR124" s="505"/>
      <c r="AS124" s="505"/>
      <c r="AT124" s="505"/>
      <c r="AU124" s="505"/>
      <c r="AV124" s="505"/>
      <c r="AW124" s="505"/>
      <c r="AX124" s="505"/>
      <c r="AY124" s="505"/>
      <c r="AZ124" s="505"/>
      <c r="BA124" s="505"/>
      <c r="BB124" s="505"/>
      <c r="BC124" s="505"/>
      <c r="BD124" s="505"/>
      <c r="BE124" s="505"/>
      <c r="BF124" s="505"/>
      <c r="BG124" s="505"/>
      <c r="BH124" s="505"/>
      <c r="BI124" s="505"/>
      <c r="BJ124" s="505"/>
      <c r="BK124" s="505"/>
      <c r="BL124" s="505"/>
      <c r="BM124" s="505"/>
    </row>
    <row r="125" spans="1:65" ht="9.9499999999999993" customHeight="1">
      <c r="A125" s="505"/>
      <c r="B125" s="505"/>
      <c r="C125" s="505"/>
      <c r="D125" s="505"/>
      <c r="E125" s="505"/>
      <c r="F125" s="505"/>
      <c r="G125" s="505"/>
      <c r="H125" s="505"/>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row>
    <row r="126" spans="1:65" ht="9.9499999999999993" customHeight="1">
      <c r="A126" s="505"/>
      <c r="B126" s="505"/>
      <c r="C126" s="505"/>
      <c r="D126" s="505"/>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c r="AG126" s="505"/>
      <c r="AH126" s="505"/>
      <c r="AI126" s="505"/>
      <c r="AJ126" s="505"/>
      <c r="AK126" s="505"/>
      <c r="AL126" s="505"/>
      <c r="AM126" s="505"/>
      <c r="AN126" s="505"/>
      <c r="AO126" s="505"/>
      <c r="AP126" s="505"/>
      <c r="AQ126" s="505"/>
      <c r="AR126" s="505"/>
      <c r="AS126" s="505"/>
      <c r="AT126" s="505"/>
      <c r="AU126" s="505"/>
      <c r="AV126" s="505"/>
      <c r="AW126" s="505"/>
      <c r="AX126" s="505"/>
      <c r="AY126" s="505"/>
      <c r="AZ126" s="505"/>
      <c r="BA126" s="505"/>
      <c r="BB126" s="505"/>
      <c r="BC126" s="505"/>
      <c r="BD126" s="505"/>
      <c r="BE126" s="505"/>
      <c r="BF126" s="505"/>
      <c r="BG126" s="505"/>
      <c r="BH126" s="505"/>
      <c r="BI126" s="505"/>
      <c r="BJ126" s="505"/>
      <c r="BK126" s="505"/>
      <c r="BL126" s="505"/>
      <c r="BM126" s="505"/>
    </row>
    <row r="127" spans="1:65" ht="9.9499999999999993" customHeight="1">
      <c r="A127" s="505"/>
      <c r="B127" s="505"/>
      <c r="C127" s="505"/>
      <c r="D127" s="505"/>
      <c r="E127" s="505"/>
      <c r="F127" s="505"/>
      <c r="G127" s="505"/>
      <c r="H127" s="505"/>
      <c r="I127" s="505"/>
      <c r="J127" s="505"/>
      <c r="K127" s="505"/>
      <c r="L127" s="505"/>
      <c r="M127" s="505"/>
      <c r="N127" s="505"/>
      <c r="O127" s="505"/>
      <c r="P127" s="505"/>
      <c r="Q127" s="505"/>
      <c r="R127" s="505"/>
      <c r="S127" s="505"/>
      <c r="T127" s="505"/>
      <c r="U127" s="505"/>
      <c r="V127" s="505"/>
      <c r="W127" s="505"/>
      <c r="X127" s="505"/>
      <c r="Y127" s="505"/>
      <c r="Z127" s="505"/>
      <c r="AA127" s="505"/>
      <c r="AB127" s="505"/>
      <c r="AC127" s="505"/>
      <c r="AD127" s="505"/>
      <c r="AE127" s="505"/>
      <c r="AF127" s="505"/>
      <c r="AG127" s="505"/>
      <c r="AH127" s="505"/>
      <c r="AI127" s="505"/>
      <c r="AJ127" s="505"/>
      <c r="AK127" s="505"/>
      <c r="AL127" s="505"/>
      <c r="AM127" s="505"/>
      <c r="AN127" s="505"/>
      <c r="AO127" s="505"/>
      <c r="AP127" s="505"/>
      <c r="AQ127" s="505"/>
      <c r="AR127" s="505"/>
      <c r="AS127" s="505"/>
      <c r="AT127" s="505"/>
      <c r="AU127" s="505"/>
      <c r="AV127" s="505"/>
      <c r="AW127" s="505"/>
      <c r="AX127" s="505"/>
      <c r="AY127" s="505"/>
      <c r="AZ127" s="505"/>
      <c r="BA127" s="505"/>
      <c r="BB127" s="505"/>
      <c r="BC127" s="505"/>
      <c r="BD127" s="505"/>
      <c r="BE127" s="505"/>
      <c r="BF127" s="505"/>
      <c r="BG127" s="505"/>
      <c r="BH127" s="505"/>
      <c r="BI127" s="505"/>
      <c r="BJ127" s="505"/>
      <c r="BK127" s="505"/>
      <c r="BL127" s="505"/>
      <c r="BM127" s="505"/>
    </row>
    <row r="128" spans="1:65" ht="9.9499999999999993" customHeight="1">
      <c r="A128" s="505"/>
      <c r="B128" s="505"/>
      <c r="C128" s="505"/>
      <c r="D128" s="505"/>
      <c r="E128" s="505"/>
      <c r="F128" s="505"/>
      <c r="G128" s="505"/>
      <c r="H128" s="505"/>
      <c r="I128" s="505"/>
      <c r="J128" s="505"/>
      <c r="K128" s="505"/>
      <c r="L128" s="505"/>
      <c r="M128" s="505"/>
      <c r="N128" s="505"/>
      <c r="O128" s="505"/>
      <c r="P128" s="505"/>
      <c r="Q128" s="505"/>
      <c r="R128" s="505"/>
      <c r="S128" s="505"/>
      <c r="T128" s="505"/>
      <c r="U128" s="505"/>
      <c r="V128" s="505"/>
      <c r="W128" s="505"/>
      <c r="X128" s="505"/>
      <c r="Y128" s="505"/>
      <c r="Z128" s="505"/>
      <c r="AA128" s="505"/>
      <c r="AB128" s="505"/>
      <c r="AC128" s="505"/>
      <c r="AD128" s="505"/>
      <c r="AE128" s="505"/>
      <c r="AF128" s="505"/>
      <c r="AG128" s="505"/>
      <c r="AH128" s="505"/>
      <c r="AI128" s="505"/>
      <c r="AJ128" s="505"/>
      <c r="AK128" s="505"/>
      <c r="AL128" s="505"/>
      <c r="AM128" s="505"/>
      <c r="AN128" s="505"/>
      <c r="AO128" s="505"/>
      <c r="AP128" s="505"/>
      <c r="AQ128" s="505"/>
      <c r="AR128" s="505"/>
      <c r="AS128" s="505"/>
      <c r="AT128" s="505"/>
      <c r="AU128" s="505"/>
      <c r="AV128" s="505"/>
      <c r="AW128" s="505"/>
      <c r="AX128" s="505"/>
      <c r="AY128" s="505"/>
      <c r="AZ128" s="505"/>
      <c r="BA128" s="505"/>
      <c r="BB128" s="505"/>
      <c r="BC128" s="505"/>
      <c r="BD128" s="505"/>
      <c r="BE128" s="505"/>
      <c r="BF128" s="505"/>
      <c r="BG128" s="505"/>
      <c r="BH128" s="505"/>
      <c r="BI128" s="505"/>
      <c r="BJ128" s="505"/>
      <c r="BK128" s="505"/>
      <c r="BL128" s="505"/>
      <c r="BM128" s="505"/>
    </row>
    <row r="129" spans="1:65" ht="9.9499999999999993" customHeight="1">
      <c r="A129" s="505"/>
      <c r="B129" s="505"/>
      <c r="C129" s="505"/>
      <c r="D129" s="505"/>
      <c r="E129" s="505"/>
      <c r="F129" s="505"/>
      <c r="G129" s="505"/>
      <c r="H129" s="505"/>
      <c r="I129" s="505"/>
      <c r="J129" s="505"/>
      <c r="K129" s="505"/>
      <c r="L129" s="505"/>
      <c r="M129" s="505"/>
      <c r="N129" s="505"/>
      <c r="O129" s="505"/>
      <c r="P129" s="505"/>
      <c r="Q129" s="505"/>
      <c r="R129" s="505"/>
      <c r="S129" s="505"/>
      <c r="T129" s="505"/>
      <c r="U129" s="505"/>
      <c r="V129" s="505"/>
      <c r="W129" s="505"/>
      <c r="X129" s="505"/>
      <c r="Y129" s="505"/>
      <c r="Z129" s="505"/>
      <c r="AA129" s="505"/>
      <c r="AB129" s="505"/>
      <c r="AC129" s="505"/>
      <c r="AD129" s="505"/>
      <c r="AE129" s="505"/>
      <c r="AF129" s="505"/>
      <c r="AG129" s="505"/>
      <c r="AH129" s="505"/>
      <c r="AI129" s="505"/>
      <c r="AJ129" s="505"/>
      <c r="AK129" s="505"/>
      <c r="AL129" s="505"/>
      <c r="AM129" s="505"/>
      <c r="AN129" s="505"/>
      <c r="AO129" s="505"/>
      <c r="AP129" s="505"/>
      <c r="AQ129" s="505"/>
      <c r="AR129" s="505"/>
      <c r="AS129" s="505"/>
      <c r="AT129" s="505"/>
      <c r="AU129" s="505"/>
      <c r="AV129" s="505"/>
      <c r="AW129" s="505"/>
      <c r="AX129" s="505"/>
      <c r="AY129" s="505"/>
      <c r="AZ129" s="505"/>
      <c r="BA129" s="505"/>
      <c r="BB129" s="505"/>
      <c r="BC129" s="505"/>
      <c r="BD129" s="505"/>
      <c r="BE129" s="505"/>
      <c r="BF129" s="505"/>
      <c r="BG129" s="505"/>
      <c r="BH129" s="505"/>
      <c r="BI129" s="505"/>
      <c r="BJ129" s="505"/>
      <c r="BK129" s="505"/>
      <c r="BL129" s="505"/>
      <c r="BM129" s="505"/>
    </row>
    <row r="130" spans="1:65" ht="9.9499999999999993" customHeight="1">
      <c r="A130" s="505"/>
      <c r="B130" s="505"/>
      <c r="C130" s="505"/>
      <c r="D130" s="505"/>
      <c r="E130" s="505"/>
      <c r="F130" s="505"/>
      <c r="G130" s="505"/>
      <c r="H130" s="505"/>
      <c r="I130" s="505"/>
      <c r="J130" s="505"/>
      <c r="K130" s="505"/>
      <c r="L130" s="505"/>
      <c r="M130" s="505"/>
      <c r="N130" s="505"/>
      <c r="O130" s="505"/>
      <c r="P130" s="505"/>
      <c r="Q130" s="505"/>
      <c r="R130" s="505"/>
      <c r="S130" s="505"/>
      <c r="T130" s="505"/>
      <c r="U130" s="505"/>
      <c r="V130" s="505"/>
      <c r="W130" s="505"/>
      <c r="X130" s="505"/>
      <c r="Y130" s="505"/>
      <c r="Z130" s="505"/>
      <c r="AA130" s="505"/>
      <c r="AB130" s="505"/>
      <c r="AC130" s="505"/>
      <c r="AD130" s="505"/>
      <c r="AE130" s="505"/>
      <c r="AF130" s="505"/>
      <c r="AG130" s="505"/>
      <c r="AH130" s="505"/>
      <c r="AI130" s="505"/>
      <c r="AJ130" s="505"/>
      <c r="AK130" s="505"/>
      <c r="AL130" s="505"/>
      <c r="AM130" s="505"/>
      <c r="AN130" s="505"/>
      <c r="AO130" s="505"/>
      <c r="AP130" s="505"/>
      <c r="AQ130" s="505"/>
      <c r="AR130" s="505"/>
      <c r="AS130" s="505"/>
      <c r="AT130" s="505"/>
      <c r="AU130" s="505"/>
      <c r="AV130" s="505"/>
      <c r="AW130" s="505"/>
      <c r="AX130" s="505"/>
      <c r="AY130" s="505"/>
      <c r="AZ130" s="505"/>
      <c r="BA130" s="505"/>
      <c r="BB130" s="505"/>
      <c r="BC130" s="505"/>
      <c r="BD130" s="505"/>
      <c r="BE130" s="505"/>
      <c r="BF130" s="505"/>
      <c r="BG130" s="505"/>
      <c r="BH130" s="505"/>
      <c r="BI130" s="505"/>
      <c r="BJ130" s="505"/>
      <c r="BK130" s="505"/>
      <c r="BL130" s="505"/>
      <c r="BM130" s="505"/>
    </row>
    <row r="131" spans="1:65" ht="9.9499999999999993" customHeight="1">
      <c r="A131" s="505"/>
      <c r="B131" s="505"/>
      <c r="C131" s="505"/>
      <c r="D131" s="505"/>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505"/>
      <c r="AE131" s="505"/>
      <c r="AF131" s="505"/>
      <c r="AG131" s="505"/>
      <c r="AH131" s="505"/>
      <c r="AI131" s="505"/>
      <c r="AJ131" s="505"/>
      <c r="AK131" s="505"/>
      <c r="AL131" s="505"/>
      <c r="AM131" s="505"/>
      <c r="AN131" s="505"/>
      <c r="AO131" s="505"/>
      <c r="AP131" s="505"/>
      <c r="AQ131" s="505"/>
      <c r="AR131" s="505"/>
      <c r="AS131" s="505"/>
      <c r="AT131" s="505"/>
      <c r="AU131" s="505"/>
      <c r="AV131" s="505"/>
      <c r="AW131" s="505"/>
      <c r="AX131" s="505"/>
      <c r="AY131" s="505"/>
      <c r="AZ131" s="505"/>
      <c r="BA131" s="505"/>
      <c r="BB131" s="505"/>
      <c r="BC131" s="505"/>
      <c r="BD131" s="505"/>
      <c r="BE131" s="505"/>
      <c r="BF131" s="505"/>
      <c r="BG131" s="505"/>
      <c r="BH131" s="505"/>
      <c r="BI131" s="505"/>
      <c r="BJ131" s="505"/>
      <c r="BK131" s="505"/>
      <c r="BL131" s="505"/>
      <c r="BM131" s="505"/>
    </row>
    <row r="132" spans="1:65" ht="9.9499999999999993" customHeight="1">
      <c r="A132" s="505"/>
      <c r="B132" s="505"/>
      <c r="C132" s="505"/>
      <c r="D132" s="505"/>
      <c r="E132" s="505"/>
      <c r="F132" s="505"/>
      <c r="G132" s="505"/>
      <c r="H132" s="505"/>
      <c r="I132" s="505"/>
      <c r="J132" s="505"/>
      <c r="K132" s="505"/>
      <c r="L132" s="505"/>
      <c r="M132" s="505"/>
      <c r="N132" s="505"/>
      <c r="O132" s="505"/>
      <c r="P132" s="505"/>
      <c r="Q132" s="505"/>
      <c r="R132" s="505"/>
      <c r="S132" s="505"/>
      <c r="T132" s="505"/>
      <c r="U132" s="505"/>
      <c r="V132" s="505"/>
      <c r="W132" s="505"/>
      <c r="X132" s="505"/>
      <c r="Y132" s="505"/>
      <c r="Z132" s="505"/>
      <c r="AA132" s="505"/>
      <c r="AB132" s="505"/>
      <c r="AC132" s="505"/>
      <c r="AD132" s="505"/>
      <c r="AE132" s="505"/>
      <c r="AF132" s="505"/>
      <c r="AG132" s="505"/>
      <c r="AH132" s="505"/>
      <c r="AI132" s="505"/>
      <c r="AJ132" s="505"/>
      <c r="AK132" s="505"/>
      <c r="AL132" s="505"/>
      <c r="AM132" s="505"/>
      <c r="AN132" s="505"/>
      <c r="AO132" s="505"/>
      <c r="AP132" s="505"/>
      <c r="AQ132" s="505"/>
      <c r="AR132" s="505"/>
      <c r="AS132" s="505"/>
      <c r="AT132" s="505"/>
      <c r="AU132" s="505"/>
      <c r="AV132" s="505"/>
      <c r="AW132" s="505"/>
      <c r="AX132" s="505"/>
      <c r="AY132" s="505"/>
      <c r="AZ132" s="505"/>
      <c r="BA132" s="505"/>
      <c r="BB132" s="505"/>
      <c r="BC132" s="505"/>
      <c r="BD132" s="505"/>
      <c r="BE132" s="505"/>
      <c r="BF132" s="505"/>
      <c r="BG132" s="505"/>
      <c r="BH132" s="505"/>
      <c r="BI132" s="505"/>
      <c r="BJ132" s="505"/>
      <c r="BK132" s="505"/>
      <c r="BL132" s="505"/>
      <c r="BM132" s="505"/>
    </row>
    <row r="133" spans="1:65" ht="9.9499999999999993" customHeight="1">
      <c r="A133" s="505"/>
      <c r="B133" s="505"/>
      <c r="C133" s="505"/>
      <c r="D133" s="505"/>
      <c r="E133" s="505"/>
      <c r="F133" s="505"/>
      <c r="G133" s="505"/>
      <c r="H133" s="505"/>
      <c r="I133" s="505"/>
      <c r="J133" s="505"/>
      <c r="K133" s="505"/>
      <c r="L133" s="505"/>
      <c r="M133" s="505"/>
      <c r="N133" s="505"/>
      <c r="O133" s="505"/>
      <c r="P133" s="505"/>
      <c r="Q133" s="505"/>
      <c r="R133" s="505"/>
      <c r="S133" s="505"/>
      <c r="T133" s="505"/>
      <c r="U133" s="505"/>
      <c r="V133" s="505"/>
      <c r="W133" s="505"/>
      <c r="X133" s="505"/>
      <c r="Y133" s="505"/>
      <c r="Z133" s="505"/>
      <c r="AA133" s="505"/>
      <c r="AB133" s="505"/>
      <c r="AC133" s="505"/>
      <c r="AD133" s="505"/>
      <c r="AE133" s="505"/>
      <c r="AF133" s="505"/>
      <c r="AG133" s="505"/>
      <c r="AH133" s="505"/>
      <c r="AI133" s="505"/>
      <c r="AJ133" s="505"/>
      <c r="AK133" s="505"/>
      <c r="AL133" s="505"/>
      <c r="AM133" s="505"/>
      <c r="AN133" s="505"/>
      <c r="AO133" s="505"/>
      <c r="AP133" s="505"/>
      <c r="AQ133" s="505"/>
      <c r="AR133" s="505"/>
      <c r="AS133" s="505"/>
      <c r="AT133" s="505"/>
      <c r="AU133" s="505"/>
      <c r="AV133" s="505"/>
      <c r="AW133" s="505"/>
      <c r="AX133" s="505"/>
      <c r="AY133" s="505"/>
      <c r="AZ133" s="505"/>
      <c r="BA133" s="505"/>
      <c r="BB133" s="505"/>
      <c r="BC133" s="505"/>
      <c r="BD133" s="505"/>
      <c r="BE133" s="505"/>
      <c r="BF133" s="505"/>
      <c r="BG133" s="505"/>
      <c r="BH133" s="505"/>
      <c r="BI133" s="505"/>
      <c r="BJ133" s="505"/>
      <c r="BK133" s="505"/>
      <c r="BL133" s="505"/>
      <c r="BM133" s="505"/>
    </row>
    <row r="134" spans="1:65" ht="9.9499999999999993" customHeight="1">
      <c r="A134" s="505"/>
      <c r="B134" s="505"/>
      <c r="C134" s="505"/>
      <c r="D134" s="505"/>
      <c r="E134" s="505"/>
      <c r="F134" s="505"/>
      <c r="G134" s="505"/>
      <c r="H134" s="505"/>
      <c r="I134" s="505"/>
      <c r="J134" s="505"/>
      <c r="K134" s="505"/>
      <c r="L134" s="505"/>
      <c r="M134" s="505"/>
      <c r="N134" s="505"/>
      <c r="O134" s="505"/>
      <c r="P134" s="505"/>
      <c r="Q134" s="505"/>
      <c r="R134" s="505"/>
      <c r="S134" s="505"/>
      <c r="T134" s="505"/>
      <c r="U134" s="505"/>
      <c r="V134" s="505"/>
      <c r="W134" s="505"/>
      <c r="X134" s="505"/>
      <c r="Y134" s="505"/>
      <c r="Z134" s="505"/>
      <c r="AA134" s="505"/>
      <c r="AB134" s="505"/>
      <c r="AC134" s="505"/>
      <c r="AD134" s="505"/>
      <c r="AE134" s="505"/>
      <c r="AF134" s="505"/>
      <c r="AG134" s="505"/>
      <c r="AH134" s="505"/>
      <c r="AI134" s="505"/>
      <c r="AJ134" s="505"/>
      <c r="AK134" s="505"/>
      <c r="AL134" s="505"/>
      <c r="AM134" s="505"/>
      <c r="AN134" s="505"/>
      <c r="AO134" s="505"/>
      <c r="AP134" s="505"/>
      <c r="AQ134" s="505"/>
      <c r="AR134" s="505"/>
      <c r="AS134" s="505"/>
      <c r="AT134" s="505"/>
      <c r="AU134" s="505"/>
      <c r="AV134" s="505"/>
      <c r="AW134" s="505"/>
      <c r="AX134" s="505"/>
      <c r="AY134" s="505"/>
      <c r="AZ134" s="505"/>
      <c r="BA134" s="505"/>
      <c r="BB134" s="505"/>
      <c r="BC134" s="505"/>
      <c r="BD134" s="505"/>
      <c r="BE134" s="505"/>
      <c r="BF134" s="505"/>
      <c r="BG134" s="505"/>
      <c r="BH134" s="505"/>
      <c r="BI134" s="505"/>
      <c r="BJ134" s="505"/>
      <c r="BK134" s="505"/>
      <c r="BL134" s="505"/>
      <c r="BM134" s="505"/>
    </row>
    <row r="135" spans="1:65" ht="9.9499999999999993" customHeight="1">
      <c r="A135" s="505"/>
      <c r="B135" s="505"/>
      <c r="C135" s="505"/>
      <c r="D135" s="505"/>
      <c r="E135" s="505"/>
      <c r="F135" s="505"/>
      <c r="G135" s="505"/>
      <c r="H135" s="505"/>
      <c r="I135" s="505"/>
      <c r="J135" s="505"/>
      <c r="K135" s="505"/>
      <c r="L135" s="505"/>
      <c r="M135" s="505"/>
      <c r="N135" s="505"/>
      <c r="O135" s="505"/>
      <c r="P135" s="505"/>
      <c r="Q135" s="505"/>
      <c r="R135" s="505"/>
      <c r="S135" s="505"/>
      <c r="T135" s="505"/>
      <c r="U135" s="505"/>
      <c r="V135" s="505"/>
      <c r="W135" s="505"/>
      <c r="X135" s="505"/>
      <c r="Y135" s="505"/>
      <c r="Z135" s="505"/>
      <c r="AA135" s="505"/>
      <c r="AB135" s="505"/>
      <c r="AC135" s="505"/>
      <c r="AD135" s="505"/>
      <c r="AE135" s="505"/>
      <c r="AF135" s="505"/>
      <c r="AG135" s="505"/>
      <c r="AH135" s="505"/>
      <c r="AI135" s="505"/>
      <c r="AJ135" s="505"/>
      <c r="AK135" s="505"/>
      <c r="AL135" s="505"/>
      <c r="AM135" s="505"/>
      <c r="AN135" s="505"/>
      <c r="AO135" s="505"/>
      <c r="AP135" s="505"/>
      <c r="AQ135" s="505"/>
      <c r="AR135" s="505"/>
      <c r="AS135" s="505"/>
      <c r="AT135" s="505"/>
      <c r="AU135" s="505"/>
      <c r="AV135" s="505"/>
      <c r="AW135" s="505"/>
      <c r="AX135" s="505"/>
      <c r="AY135" s="505"/>
      <c r="AZ135" s="505"/>
      <c r="BA135" s="505"/>
      <c r="BB135" s="505"/>
      <c r="BC135" s="505"/>
      <c r="BD135" s="505"/>
      <c r="BE135" s="505"/>
      <c r="BF135" s="505"/>
      <c r="BG135" s="505"/>
      <c r="BH135" s="505"/>
      <c r="BI135" s="505"/>
      <c r="BJ135" s="505"/>
      <c r="BK135" s="505"/>
      <c r="BL135" s="505"/>
      <c r="BM135" s="505"/>
    </row>
    <row r="136" spans="1:65" ht="9.9499999999999993" customHeight="1">
      <c r="A136" s="505"/>
      <c r="B136" s="505"/>
      <c r="C136" s="505"/>
      <c r="D136" s="505"/>
      <c r="E136" s="505"/>
      <c r="F136" s="505"/>
      <c r="G136" s="505"/>
      <c r="H136" s="505"/>
      <c r="I136" s="505"/>
      <c r="J136" s="505"/>
      <c r="K136" s="505"/>
      <c r="L136" s="505"/>
      <c r="M136" s="505"/>
      <c r="N136" s="505"/>
      <c r="O136" s="505"/>
      <c r="P136" s="505"/>
      <c r="Q136" s="505"/>
      <c r="R136" s="505"/>
      <c r="S136" s="505"/>
      <c r="T136" s="505"/>
      <c r="U136" s="505"/>
      <c r="V136" s="505"/>
      <c r="W136" s="505"/>
      <c r="X136" s="505"/>
      <c r="Y136" s="505"/>
      <c r="Z136" s="505"/>
      <c r="AA136" s="505"/>
      <c r="AB136" s="505"/>
      <c r="AC136" s="505"/>
      <c r="AD136" s="505"/>
      <c r="AE136" s="505"/>
      <c r="AF136" s="505"/>
      <c r="AG136" s="505"/>
      <c r="AH136" s="505"/>
      <c r="AI136" s="505"/>
      <c r="AJ136" s="505"/>
      <c r="AK136" s="505"/>
      <c r="AL136" s="505"/>
      <c r="AM136" s="505"/>
      <c r="AN136" s="505"/>
      <c r="AO136" s="505"/>
      <c r="AP136" s="505"/>
      <c r="AQ136" s="505"/>
      <c r="AR136" s="505"/>
      <c r="AS136" s="505"/>
      <c r="AT136" s="505"/>
      <c r="AU136" s="505"/>
      <c r="AV136" s="505"/>
      <c r="AW136" s="505"/>
      <c r="AX136" s="505"/>
      <c r="AY136" s="505"/>
      <c r="AZ136" s="505"/>
      <c r="BA136" s="505"/>
      <c r="BB136" s="505"/>
      <c r="BC136" s="505"/>
      <c r="BD136" s="505"/>
      <c r="BE136" s="505"/>
      <c r="BF136" s="505"/>
      <c r="BG136" s="505"/>
      <c r="BH136" s="505"/>
      <c r="BI136" s="505"/>
      <c r="BJ136" s="505"/>
      <c r="BK136" s="505"/>
      <c r="BL136" s="505"/>
      <c r="BM136" s="505"/>
    </row>
    <row r="137" spans="1:65" ht="9.9499999999999993" customHeight="1">
      <c r="A137" s="505"/>
      <c r="B137" s="505"/>
      <c r="C137" s="505"/>
      <c r="D137" s="505"/>
      <c r="E137" s="505"/>
      <c r="F137" s="505"/>
      <c r="G137" s="505"/>
      <c r="H137" s="505"/>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row>
    <row r="138" spans="1:65" ht="9.9499999999999993" customHeight="1">
      <c r="A138" s="505"/>
      <c r="B138" s="505"/>
      <c r="C138" s="505"/>
      <c r="D138" s="505"/>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505"/>
      <c r="AE138" s="505"/>
      <c r="AF138" s="505"/>
      <c r="AG138" s="505"/>
      <c r="AH138" s="505"/>
      <c r="AI138" s="505"/>
      <c r="AJ138" s="505"/>
      <c r="AK138" s="505"/>
      <c r="AL138" s="505"/>
      <c r="AM138" s="505"/>
      <c r="AN138" s="505"/>
      <c r="AO138" s="505"/>
      <c r="AP138" s="505"/>
      <c r="AQ138" s="505"/>
      <c r="AR138" s="505"/>
      <c r="AS138" s="505"/>
      <c r="AT138" s="505"/>
      <c r="AU138" s="505"/>
      <c r="AV138" s="505"/>
      <c r="AW138" s="505"/>
      <c r="AX138" s="505"/>
      <c r="AY138" s="505"/>
      <c r="AZ138" s="505"/>
      <c r="BA138" s="505"/>
      <c r="BB138" s="505"/>
      <c r="BC138" s="505"/>
      <c r="BD138" s="505"/>
      <c r="BE138" s="505"/>
      <c r="BF138" s="505"/>
      <c r="BG138" s="505"/>
      <c r="BH138" s="505"/>
      <c r="BI138" s="505"/>
      <c r="BJ138" s="505"/>
      <c r="BK138" s="505"/>
      <c r="BL138" s="505"/>
      <c r="BM138" s="505"/>
    </row>
    <row r="139" spans="1:65" ht="9.9499999999999993" customHeight="1">
      <c r="A139" s="505"/>
      <c r="B139" s="505"/>
      <c r="C139" s="505"/>
      <c r="D139" s="505"/>
      <c r="E139" s="505"/>
      <c r="F139" s="505"/>
      <c r="G139" s="505"/>
      <c r="H139" s="505"/>
      <c r="I139" s="505"/>
      <c r="J139" s="505"/>
      <c r="K139" s="505"/>
      <c r="L139" s="505"/>
      <c r="M139" s="505"/>
      <c r="N139" s="505"/>
      <c r="O139" s="505"/>
      <c r="P139" s="505"/>
      <c r="Q139" s="505"/>
      <c r="R139" s="505"/>
      <c r="S139" s="505"/>
      <c r="T139" s="505"/>
      <c r="U139" s="505"/>
      <c r="V139" s="505"/>
      <c r="W139" s="505"/>
      <c r="X139" s="505"/>
      <c r="Y139" s="505"/>
      <c r="Z139" s="505"/>
      <c r="AA139" s="505"/>
      <c r="AB139" s="505"/>
      <c r="AC139" s="505"/>
      <c r="AD139" s="505"/>
      <c r="AE139" s="505"/>
      <c r="AF139" s="505"/>
      <c r="AG139" s="505"/>
      <c r="AH139" s="505"/>
      <c r="AI139" s="505"/>
      <c r="AJ139" s="505"/>
      <c r="AK139" s="505"/>
      <c r="AL139" s="505"/>
      <c r="AM139" s="505"/>
      <c r="AN139" s="505"/>
      <c r="AO139" s="505"/>
      <c r="AP139" s="505"/>
      <c r="AQ139" s="505"/>
      <c r="AR139" s="505"/>
      <c r="AS139" s="505"/>
      <c r="AT139" s="505"/>
      <c r="AU139" s="505"/>
      <c r="AV139" s="505"/>
      <c r="AW139" s="505"/>
      <c r="AX139" s="505"/>
      <c r="AY139" s="505"/>
      <c r="AZ139" s="505"/>
      <c r="BA139" s="505"/>
      <c r="BB139" s="505"/>
      <c r="BC139" s="505"/>
      <c r="BD139" s="505"/>
      <c r="BE139" s="505"/>
      <c r="BF139" s="505"/>
      <c r="BG139" s="505"/>
      <c r="BH139" s="505"/>
      <c r="BI139" s="505"/>
      <c r="BJ139" s="505"/>
      <c r="BK139" s="505"/>
      <c r="BL139" s="505"/>
      <c r="BM139" s="505"/>
    </row>
    <row r="140" spans="1:65" ht="9.9499999999999993" customHeight="1">
      <c r="A140" s="505"/>
      <c r="B140" s="505"/>
      <c r="C140" s="505"/>
      <c r="D140" s="505"/>
      <c r="E140" s="505"/>
      <c r="F140" s="505"/>
      <c r="G140" s="505"/>
      <c r="H140" s="505"/>
      <c r="I140" s="505"/>
      <c r="J140" s="505"/>
      <c r="K140" s="505"/>
      <c r="L140" s="505"/>
      <c r="M140" s="505"/>
      <c r="N140" s="505"/>
      <c r="O140" s="505"/>
      <c r="P140" s="505"/>
      <c r="Q140" s="505"/>
      <c r="R140" s="505"/>
      <c r="S140" s="505"/>
      <c r="T140" s="505"/>
      <c r="U140" s="505"/>
      <c r="V140" s="505"/>
      <c r="W140" s="505"/>
      <c r="X140" s="505"/>
      <c r="Y140" s="505"/>
      <c r="Z140" s="505"/>
      <c r="AA140" s="505"/>
      <c r="AB140" s="505"/>
      <c r="AC140" s="505"/>
      <c r="AD140" s="505"/>
      <c r="AE140" s="505"/>
      <c r="AF140" s="505"/>
      <c r="AG140" s="505"/>
      <c r="AH140" s="505"/>
      <c r="AI140" s="505"/>
      <c r="AJ140" s="505"/>
      <c r="AK140" s="505"/>
      <c r="AL140" s="505"/>
      <c r="AM140" s="505"/>
      <c r="AN140" s="505"/>
      <c r="AO140" s="505"/>
      <c r="AP140" s="505"/>
      <c r="AQ140" s="505"/>
      <c r="AR140" s="505"/>
      <c r="AS140" s="505"/>
      <c r="AT140" s="505"/>
      <c r="AU140" s="505"/>
      <c r="AV140" s="505"/>
      <c r="AW140" s="505"/>
      <c r="AX140" s="505"/>
      <c r="AY140" s="505"/>
      <c r="AZ140" s="505"/>
      <c r="BA140" s="505"/>
      <c r="BB140" s="505"/>
      <c r="BC140" s="505"/>
      <c r="BD140" s="505"/>
      <c r="BE140" s="505"/>
      <c r="BF140" s="505"/>
      <c r="BG140" s="505"/>
      <c r="BH140" s="505"/>
      <c r="BI140" s="505"/>
      <c r="BJ140" s="505"/>
      <c r="BK140" s="505"/>
      <c r="BL140" s="505"/>
      <c r="BM140" s="505"/>
    </row>
    <row r="141" spans="1:65" ht="9.9499999999999993" customHeight="1">
      <c r="A141" s="505"/>
      <c r="B141" s="505"/>
      <c r="C141" s="505"/>
      <c r="D141" s="505"/>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505"/>
      <c r="AE141" s="505"/>
      <c r="AF141" s="505"/>
      <c r="AG141" s="505"/>
      <c r="AH141" s="505"/>
      <c r="AI141" s="505"/>
      <c r="AJ141" s="505"/>
      <c r="AK141" s="505"/>
      <c r="AL141" s="505"/>
      <c r="AM141" s="505"/>
      <c r="AN141" s="505"/>
      <c r="AO141" s="505"/>
      <c r="AP141" s="505"/>
      <c r="AQ141" s="505"/>
      <c r="AR141" s="505"/>
      <c r="AS141" s="505"/>
      <c r="AT141" s="505"/>
      <c r="AU141" s="505"/>
      <c r="AV141" s="505"/>
      <c r="AW141" s="505"/>
      <c r="AX141" s="505"/>
      <c r="AY141" s="505"/>
      <c r="AZ141" s="505"/>
      <c r="BA141" s="505"/>
      <c r="BB141" s="505"/>
      <c r="BC141" s="505"/>
      <c r="BD141" s="505"/>
      <c r="BE141" s="505"/>
      <c r="BF141" s="505"/>
      <c r="BG141" s="505"/>
      <c r="BH141" s="505"/>
      <c r="BI141" s="505"/>
      <c r="BJ141" s="505"/>
      <c r="BK141" s="505"/>
      <c r="BL141" s="505"/>
      <c r="BM141" s="505"/>
    </row>
    <row r="142" spans="1:65" ht="9.9499999999999993" customHeight="1">
      <c r="A142" s="505"/>
      <c r="B142" s="505"/>
      <c r="C142" s="505"/>
      <c r="D142" s="505"/>
      <c r="E142" s="505"/>
      <c r="F142" s="505"/>
      <c r="G142" s="505"/>
      <c r="H142" s="505"/>
      <c r="I142" s="505"/>
      <c r="J142" s="505"/>
      <c r="K142" s="505"/>
      <c r="L142" s="505"/>
      <c r="M142" s="505"/>
      <c r="N142" s="505"/>
      <c r="O142" s="505"/>
      <c r="P142" s="505"/>
      <c r="Q142" s="505"/>
      <c r="R142" s="505"/>
      <c r="S142" s="505"/>
      <c r="T142" s="505"/>
      <c r="U142" s="505"/>
      <c r="V142" s="505"/>
      <c r="W142" s="505"/>
      <c r="X142" s="505"/>
      <c r="Y142" s="505"/>
      <c r="Z142" s="505"/>
      <c r="AA142" s="505"/>
      <c r="AB142" s="505"/>
      <c r="AC142" s="505"/>
      <c r="AD142" s="505"/>
      <c r="AE142" s="505"/>
      <c r="AF142" s="505"/>
      <c r="AG142" s="505"/>
      <c r="AH142" s="505"/>
      <c r="AI142" s="505"/>
      <c r="AJ142" s="505"/>
      <c r="AK142" s="505"/>
      <c r="AL142" s="505"/>
      <c r="AM142" s="505"/>
      <c r="AN142" s="505"/>
      <c r="AO142" s="505"/>
      <c r="AP142" s="505"/>
      <c r="AQ142" s="505"/>
      <c r="AR142" s="505"/>
      <c r="AS142" s="505"/>
      <c r="AT142" s="505"/>
      <c r="AU142" s="505"/>
      <c r="AV142" s="505"/>
      <c r="AW142" s="505"/>
      <c r="AX142" s="505"/>
      <c r="AY142" s="505"/>
      <c r="AZ142" s="505"/>
      <c r="BA142" s="505"/>
      <c r="BB142" s="505"/>
      <c r="BC142" s="505"/>
      <c r="BD142" s="505"/>
      <c r="BE142" s="505"/>
      <c r="BF142" s="505"/>
      <c r="BG142" s="505"/>
      <c r="BH142" s="505"/>
      <c r="BI142" s="505"/>
      <c r="BJ142" s="505"/>
      <c r="BK142" s="505"/>
      <c r="BL142" s="505"/>
      <c r="BM142" s="505"/>
    </row>
    <row r="143" spans="1:65" ht="9.9499999999999993" customHeight="1">
      <c r="A143" s="505"/>
      <c r="B143" s="505"/>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row>
    <row r="144" spans="1:65" ht="9.9499999999999993" customHeight="1">
      <c r="A144" s="505"/>
      <c r="B144" s="505"/>
      <c r="C144" s="505"/>
      <c r="D144" s="505"/>
      <c r="E144" s="505"/>
      <c r="F144" s="505"/>
      <c r="G144" s="505"/>
      <c r="H144" s="505"/>
      <c r="I144" s="505"/>
      <c r="J144" s="505"/>
      <c r="K144" s="505"/>
      <c r="L144" s="505"/>
      <c r="M144" s="505"/>
      <c r="N144" s="505"/>
      <c r="O144" s="505"/>
      <c r="P144" s="505"/>
      <c r="Q144" s="505"/>
      <c r="R144" s="505"/>
      <c r="S144" s="505"/>
      <c r="T144" s="505"/>
      <c r="U144" s="505"/>
      <c r="V144" s="505"/>
      <c r="W144" s="505"/>
      <c r="X144" s="505"/>
      <c r="Y144" s="505"/>
      <c r="Z144" s="505"/>
      <c r="AA144" s="505"/>
      <c r="AB144" s="505"/>
      <c r="AC144" s="505"/>
      <c r="AD144" s="505"/>
      <c r="AE144" s="505"/>
      <c r="AF144" s="505"/>
      <c r="AG144" s="505"/>
      <c r="AH144" s="505"/>
      <c r="AI144" s="505"/>
      <c r="AJ144" s="505"/>
      <c r="AK144" s="505"/>
      <c r="AL144" s="505"/>
      <c r="AM144" s="505"/>
      <c r="AN144" s="505"/>
      <c r="AO144" s="505"/>
      <c r="AP144" s="505"/>
      <c r="AQ144" s="505"/>
      <c r="AR144" s="505"/>
      <c r="AS144" s="505"/>
      <c r="AT144" s="505"/>
      <c r="AU144" s="505"/>
      <c r="AV144" s="505"/>
      <c r="AW144" s="505"/>
      <c r="AX144" s="505"/>
      <c r="AY144" s="505"/>
      <c r="AZ144" s="505"/>
      <c r="BA144" s="505"/>
      <c r="BB144" s="505"/>
      <c r="BC144" s="505"/>
      <c r="BD144" s="505"/>
      <c r="BE144" s="505"/>
      <c r="BF144" s="505"/>
      <c r="BG144" s="505"/>
      <c r="BH144" s="505"/>
      <c r="BI144" s="505"/>
      <c r="BJ144" s="505"/>
      <c r="BK144" s="505"/>
      <c r="BL144" s="505"/>
      <c r="BM144" s="505"/>
    </row>
    <row r="145" spans="1:65" ht="9.9499999999999993" customHeight="1">
      <c r="A145" s="505"/>
      <c r="B145" s="505"/>
      <c r="C145" s="505"/>
      <c r="D145" s="505"/>
      <c r="E145" s="505"/>
      <c r="F145" s="505"/>
      <c r="G145" s="505"/>
      <c r="H145" s="505"/>
      <c r="I145" s="505"/>
      <c r="J145" s="505"/>
      <c r="K145" s="505"/>
      <c r="L145" s="505"/>
      <c r="M145" s="505"/>
      <c r="N145" s="505"/>
      <c r="O145" s="505"/>
      <c r="P145" s="505"/>
      <c r="Q145" s="505"/>
      <c r="R145" s="505"/>
      <c r="S145" s="505"/>
      <c r="T145" s="505"/>
      <c r="U145" s="505"/>
      <c r="V145" s="505"/>
      <c r="W145" s="505"/>
      <c r="X145" s="505"/>
      <c r="Y145" s="505"/>
      <c r="Z145" s="505"/>
      <c r="AA145" s="505"/>
      <c r="AB145" s="505"/>
      <c r="AC145" s="505"/>
      <c r="AD145" s="505"/>
      <c r="AE145" s="505"/>
      <c r="AF145" s="505"/>
      <c r="AG145" s="505"/>
      <c r="AH145" s="505"/>
      <c r="AI145" s="505"/>
      <c r="AJ145" s="505"/>
      <c r="AK145" s="505"/>
      <c r="AL145" s="505"/>
      <c r="AM145" s="505"/>
      <c r="AN145" s="505"/>
      <c r="AO145" s="505"/>
      <c r="AP145" s="505"/>
      <c r="AQ145" s="505"/>
      <c r="AR145" s="505"/>
      <c r="AS145" s="505"/>
      <c r="AT145" s="505"/>
      <c r="AU145" s="505"/>
      <c r="AV145" s="505"/>
      <c r="AW145" s="505"/>
      <c r="AX145" s="505"/>
      <c r="AY145" s="505"/>
      <c r="AZ145" s="505"/>
      <c r="BA145" s="505"/>
      <c r="BB145" s="505"/>
      <c r="BC145" s="505"/>
      <c r="BD145" s="505"/>
      <c r="BE145" s="505"/>
      <c r="BF145" s="505"/>
      <c r="BG145" s="505"/>
      <c r="BH145" s="505"/>
      <c r="BI145" s="505"/>
      <c r="BJ145" s="505"/>
      <c r="BK145" s="505"/>
      <c r="BL145" s="505"/>
      <c r="BM145" s="505"/>
    </row>
    <row r="146" spans="1:65" ht="9.9499999999999993" customHeight="1">
      <c r="A146" s="505"/>
      <c r="B146" s="505"/>
      <c r="C146" s="505"/>
      <c r="D146" s="505"/>
      <c r="E146" s="505"/>
      <c r="F146" s="505"/>
      <c r="G146" s="505"/>
      <c r="H146" s="505"/>
      <c r="I146" s="505"/>
      <c r="J146" s="505"/>
      <c r="K146" s="505"/>
      <c r="L146" s="505"/>
      <c r="M146" s="505"/>
      <c r="N146" s="505"/>
      <c r="O146" s="505"/>
      <c r="P146" s="505"/>
      <c r="Q146" s="505"/>
      <c r="R146" s="505"/>
      <c r="S146" s="505"/>
      <c r="T146" s="505"/>
      <c r="U146" s="505"/>
      <c r="V146" s="505"/>
      <c r="W146" s="505"/>
      <c r="X146" s="505"/>
      <c r="Y146" s="505"/>
      <c r="Z146" s="505"/>
      <c r="AA146" s="505"/>
      <c r="AB146" s="505"/>
      <c r="AC146" s="505"/>
      <c r="AD146" s="505"/>
      <c r="AE146" s="505"/>
      <c r="AF146" s="505"/>
      <c r="AG146" s="505"/>
      <c r="AH146" s="505"/>
      <c r="AI146" s="505"/>
      <c r="AJ146" s="505"/>
      <c r="AK146" s="505"/>
      <c r="AL146" s="505"/>
      <c r="AM146" s="505"/>
      <c r="AN146" s="505"/>
      <c r="AO146" s="505"/>
      <c r="AP146" s="505"/>
      <c r="AQ146" s="505"/>
      <c r="AR146" s="505"/>
      <c r="AS146" s="505"/>
      <c r="AT146" s="505"/>
      <c r="AU146" s="505"/>
      <c r="AV146" s="505"/>
      <c r="AW146" s="505"/>
      <c r="AX146" s="505"/>
      <c r="AY146" s="505"/>
      <c r="AZ146" s="505"/>
      <c r="BA146" s="505"/>
      <c r="BB146" s="505"/>
      <c r="BC146" s="505"/>
      <c r="BD146" s="505"/>
      <c r="BE146" s="505"/>
      <c r="BF146" s="505"/>
      <c r="BG146" s="505"/>
      <c r="BH146" s="505"/>
      <c r="BI146" s="505"/>
      <c r="BJ146" s="505"/>
      <c r="BK146" s="505"/>
      <c r="BL146" s="505"/>
      <c r="BM146" s="505"/>
    </row>
    <row r="147" spans="1:65" ht="9.9499999999999993" customHeight="1">
      <c r="A147" s="505"/>
      <c r="B147" s="505"/>
      <c r="C147" s="505"/>
      <c r="D147" s="505"/>
      <c r="E147" s="505"/>
      <c r="F147" s="505"/>
      <c r="G147" s="505"/>
      <c r="H147" s="505"/>
      <c r="I147" s="505"/>
      <c r="J147" s="505"/>
      <c r="K147" s="505"/>
      <c r="L147" s="505"/>
      <c r="M147" s="505"/>
      <c r="N147" s="505"/>
      <c r="O147" s="505"/>
      <c r="P147" s="505"/>
      <c r="Q147" s="505"/>
      <c r="R147" s="505"/>
      <c r="S147" s="505"/>
      <c r="T147" s="505"/>
      <c r="U147" s="505"/>
      <c r="V147" s="505"/>
      <c r="W147" s="505"/>
      <c r="X147" s="505"/>
      <c r="Y147" s="505"/>
      <c r="Z147" s="505"/>
      <c r="AA147" s="505"/>
      <c r="AB147" s="505"/>
      <c r="AC147" s="505"/>
      <c r="AD147" s="505"/>
      <c r="AE147" s="505"/>
      <c r="AF147" s="505"/>
      <c r="AG147" s="505"/>
      <c r="AH147" s="505"/>
      <c r="AI147" s="505"/>
      <c r="AJ147" s="505"/>
      <c r="AK147" s="505"/>
      <c r="AL147" s="505"/>
      <c r="AM147" s="505"/>
      <c r="AN147" s="505"/>
      <c r="AO147" s="505"/>
      <c r="AP147" s="505"/>
      <c r="AQ147" s="505"/>
      <c r="AR147" s="505"/>
      <c r="AS147" s="505"/>
      <c r="AT147" s="505"/>
      <c r="AU147" s="505"/>
      <c r="AV147" s="505"/>
      <c r="AW147" s="505"/>
      <c r="AX147" s="505"/>
      <c r="AY147" s="505"/>
      <c r="AZ147" s="505"/>
      <c r="BA147" s="505"/>
      <c r="BB147" s="505"/>
      <c r="BC147" s="505"/>
      <c r="BD147" s="505"/>
      <c r="BE147" s="505"/>
      <c r="BF147" s="505"/>
      <c r="BG147" s="505"/>
      <c r="BH147" s="505"/>
      <c r="BI147" s="505"/>
      <c r="BJ147" s="505"/>
      <c r="BK147" s="505"/>
      <c r="BL147" s="505"/>
      <c r="BM147" s="505"/>
    </row>
    <row r="148" spans="1:65" ht="9.9499999999999993" customHeight="1">
      <c r="A148" s="505"/>
      <c r="B148" s="505"/>
      <c r="C148" s="505"/>
      <c r="D148" s="505"/>
      <c r="E148" s="505"/>
      <c r="F148" s="505"/>
      <c r="G148" s="505"/>
      <c r="H148" s="505"/>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row>
    <row r="149" spans="1:65" ht="9.9499999999999993" customHeight="1">
      <c r="A149" s="505"/>
      <c r="B149" s="505"/>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505"/>
      <c r="AE149" s="505"/>
      <c r="AF149" s="505"/>
      <c r="AG149" s="505"/>
      <c r="AH149" s="505"/>
      <c r="AI149" s="505"/>
      <c r="AJ149" s="505"/>
      <c r="AK149" s="505"/>
      <c r="AL149" s="505"/>
      <c r="AM149" s="505"/>
      <c r="AN149" s="505"/>
      <c r="AO149" s="505"/>
      <c r="AP149" s="505"/>
      <c r="AQ149" s="505"/>
      <c r="AR149" s="505"/>
      <c r="AS149" s="505"/>
      <c r="AT149" s="505"/>
      <c r="AU149" s="505"/>
      <c r="AV149" s="505"/>
      <c r="AW149" s="505"/>
      <c r="AX149" s="505"/>
      <c r="AY149" s="505"/>
      <c r="AZ149" s="505"/>
      <c r="BA149" s="505"/>
      <c r="BB149" s="505"/>
      <c r="BC149" s="505"/>
      <c r="BD149" s="505"/>
      <c r="BE149" s="505"/>
      <c r="BF149" s="505"/>
      <c r="BG149" s="505"/>
      <c r="BH149" s="505"/>
      <c r="BI149" s="505"/>
      <c r="BJ149" s="505"/>
      <c r="BK149" s="505"/>
      <c r="BL149" s="505"/>
      <c r="BM149" s="505"/>
    </row>
    <row r="150" spans="1:65" ht="9.9499999999999993" customHeight="1">
      <c r="A150" s="505"/>
      <c r="B150" s="505"/>
      <c r="C150" s="505"/>
      <c r="D150" s="505"/>
      <c r="E150" s="505"/>
      <c r="F150" s="505"/>
      <c r="G150" s="505"/>
      <c r="H150" s="505"/>
      <c r="I150" s="505"/>
      <c r="J150" s="505"/>
      <c r="K150" s="505"/>
      <c r="L150" s="505"/>
      <c r="M150" s="505"/>
      <c r="N150" s="505"/>
      <c r="O150" s="505"/>
      <c r="P150" s="505"/>
      <c r="Q150" s="505"/>
      <c r="R150" s="505"/>
      <c r="S150" s="505"/>
      <c r="T150" s="505"/>
      <c r="U150" s="505"/>
      <c r="V150" s="505"/>
      <c r="W150" s="505"/>
      <c r="X150" s="505"/>
      <c r="Y150" s="505"/>
      <c r="Z150" s="505"/>
      <c r="AA150" s="505"/>
      <c r="AB150" s="505"/>
      <c r="AC150" s="505"/>
      <c r="AD150" s="505"/>
      <c r="AE150" s="505"/>
      <c r="AF150" s="505"/>
      <c r="AG150" s="505"/>
      <c r="AH150" s="505"/>
      <c r="AI150" s="505"/>
      <c r="AJ150" s="505"/>
      <c r="AK150" s="505"/>
      <c r="AL150" s="505"/>
      <c r="AM150" s="505"/>
      <c r="AN150" s="505"/>
      <c r="AO150" s="505"/>
      <c r="AP150" s="505"/>
      <c r="AQ150" s="505"/>
      <c r="AR150" s="505"/>
      <c r="AS150" s="505"/>
      <c r="AT150" s="505"/>
      <c r="AU150" s="505"/>
      <c r="AV150" s="505"/>
      <c r="AW150" s="505"/>
      <c r="AX150" s="505"/>
      <c r="AY150" s="505"/>
      <c r="AZ150" s="505"/>
      <c r="BA150" s="505"/>
      <c r="BB150" s="505"/>
      <c r="BC150" s="505"/>
      <c r="BD150" s="505"/>
      <c r="BE150" s="505"/>
      <c r="BF150" s="505"/>
      <c r="BG150" s="505"/>
      <c r="BH150" s="505"/>
      <c r="BI150" s="505"/>
      <c r="BJ150" s="505"/>
      <c r="BK150" s="505"/>
      <c r="BL150" s="505"/>
      <c r="BM150" s="505"/>
    </row>
    <row r="151" spans="1:65" ht="9.9499999999999993" customHeight="1">
      <c r="A151" s="505"/>
      <c r="B151" s="505"/>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505"/>
      <c r="AE151" s="505"/>
      <c r="AF151" s="505"/>
      <c r="AG151" s="505"/>
      <c r="AH151" s="505"/>
      <c r="AI151" s="505"/>
      <c r="AJ151" s="505"/>
      <c r="AK151" s="505"/>
      <c r="AL151" s="505"/>
      <c r="AM151" s="505"/>
      <c r="AN151" s="505"/>
      <c r="AO151" s="505"/>
      <c r="AP151" s="505"/>
      <c r="AQ151" s="505"/>
      <c r="AR151" s="505"/>
      <c r="AS151" s="505"/>
      <c r="AT151" s="505"/>
      <c r="AU151" s="505"/>
      <c r="AV151" s="505"/>
      <c r="AW151" s="505"/>
      <c r="AX151" s="505"/>
      <c r="AY151" s="505"/>
      <c r="AZ151" s="505"/>
      <c r="BA151" s="505"/>
      <c r="BB151" s="505"/>
      <c r="BC151" s="505"/>
      <c r="BD151" s="505"/>
      <c r="BE151" s="505"/>
      <c r="BF151" s="505"/>
      <c r="BG151" s="505"/>
      <c r="BH151" s="505"/>
      <c r="BI151" s="505"/>
      <c r="BJ151" s="505"/>
      <c r="BK151" s="505"/>
      <c r="BL151" s="505"/>
      <c r="BM151" s="505"/>
    </row>
    <row r="152" spans="1:65" ht="9.9499999999999993" customHeight="1">
      <c r="A152" s="505"/>
      <c r="B152" s="505"/>
      <c r="C152" s="505"/>
      <c r="D152" s="505"/>
      <c r="E152" s="505"/>
      <c r="F152" s="505"/>
      <c r="G152" s="505"/>
      <c r="H152" s="505"/>
      <c r="I152" s="505"/>
      <c r="J152" s="505"/>
      <c r="K152" s="505"/>
      <c r="L152" s="505"/>
      <c r="M152" s="505"/>
      <c r="N152" s="505"/>
      <c r="O152" s="505"/>
      <c r="P152" s="505"/>
      <c r="Q152" s="505"/>
      <c r="R152" s="505"/>
      <c r="S152" s="505"/>
      <c r="T152" s="505"/>
      <c r="U152" s="505"/>
      <c r="V152" s="505"/>
      <c r="W152" s="505"/>
      <c r="X152" s="505"/>
      <c r="Y152" s="505"/>
      <c r="Z152" s="505"/>
      <c r="AA152" s="505"/>
      <c r="AB152" s="505"/>
      <c r="AC152" s="505"/>
      <c r="AD152" s="505"/>
      <c r="AE152" s="505"/>
      <c r="AF152" s="505"/>
      <c r="AG152" s="505"/>
      <c r="AH152" s="505"/>
      <c r="AI152" s="505"/>
      <c r="AJ152" s="505"/>
      <c r="AK152" s="505"/>
      <c r="AL152" s="505"/>
      <c r="AM152" s="505"/>
      <c r="AN152" s="505"/>
      <c r="AO152" s="505"/>
      <c r="AP152" s="505"/>
      <c r="AQ152" s="505"/>
      <c r="AR152" s="505"/>
      <c r="AS152" s="505"/>
      <c r="AT152" s="505"/>
      <c r="AU152" s="505"/>
      <c r="AV152" s="505"/>
      <c r="AW152" s="505"/>
      <c r="AX152" s="505"/>
      <c r="AY152" s="505"/>
      <c r="AZ152" s="505"/>
      <c r="BA152" s="505"/>
      <c r="BB152" s="505"/>
      <c r="BC152" s="505"/>
      <c r="BD152" s="505"/>
      <c r="BE152" s="505"/>
      <c r="BF152" s="505"/>
      <c r="BG152" s="505"/>
      <c r="BH152" s="505"/>
      <c r="BI152" s="505"/>
      <c r="BJ152" s="505"/>
      <c r="BK152" s="505"/>
      <c r="BL152" s="505"/>
      <c r="BM152" s="505"/>
    </row>
    <row r="153" spans="1:65" ht="9.9499999999999993" customHeight="1">
      <c r="A153" s="505"/>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row>
    <row r="154" spans="1:65" ht="9.9499999999999993" customHeight="1">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505"/>
      <c r="AE154" s="505"/>
      <c r="AF154" s="505"/>
      <c r="AG154" s="505"/>
      <c r="AH154" s="505"/>
      <c r="AI154" s="505"/>
      <c r="AJ154" s="505"/>
      <c r="AK154" s="505"/>
      <c r="AL154" s="505"/>
      <c r="AM154" s="505"/>
      <c r="AN154" s="505"/>
      <c r="AO154" s="505"/>
      <c r="AP154" s="505"/>
      <c r="AQ154" s="505"/>
      <c r="AR154" s="505"/>
      <c r="AS154" s="505"/>
      <c r="AT154" s="505"/>
      <c r="AU154" s="505"/>
      <c r="AV154" s="505"/>
      <c r="AW154" s="505"/>
      <c r="AX154" s="505"/>
      <c r="AY154" s="505"/>
      <c r="AZ154" s="505"/>
      <c r="BA154" s="505"/>
      <c r="BB154" s="505"/>
      <c r="BC154" s="505"/>
      <c r="BD154" s="505"/>
      <c r="BE154" s="505"/>
      <c r="BF154" s="505"/>
      <c r="BG154" s="505"/>
      <c r="BH154" s="505"/>
      <c r="BI154" s="505"/>
      <c r="BJ154" s="505"/>
      <c r="BK154" s="505"/>
      <c r="BL154" s="505"/>
      <c r="BM154" s="505"/>
    </row>
    <row r="155" spans="1:65" ht="9.9499999999999993" customHeight="1">
      <c r="A155" s="505"/>
      <c r="B155" s="505"/>
      <c r="C155" s="505"/>
      <c r="D155" s="505"/>
      <c r="E155" s="505"/>
      <c r="F155" s="505"/>
      <c r="G155" s="505"/>
      <c r="H155" s="505"/>
      <c r="I155" s="505"/>
      <c r="J155" s="505"/>
      <c r="K155" s="505"/>
      <c r="L155" s="505"/>
      <c r="M155" s="505"/>
      <c r="N155" s="505"/>
      <c r="O155" s="505"/>
      <c r="P155" s="505"/>
      <c r="Q155" s="505"/>
      <c r="R155" s="505"/>
      <c r="S155" s="505"/>
      <c r="T155" s="505"/>
      <c r="U155" s="505"/>
      <c r="V155" s="505"/>
      <c r="W155" s="505"/>
      <c r="X155" s="505"/>
      <c r="Y155" s="505"/>
      <c r="Z155" s="505"/>
      <c r="AA155" s="505"/>
      <c r="AB155" s="505"/>
      <c r="AC155" s="505"/>
      <c r="AD155" s="505"/>
      <c r="AE155" s="505"/>
      <c r="AF155" s="505"/>
      <c r="AG155" s="505"/>
      <c r="AH155" s="505"/>
      <c r="AI155" s="505"/>
      <c r="AJ155" s="505"/>
      <c r="AK155" s="505"/>
      <c r="AL155" s="505"/>
      <c r="AM155" s="505"/>
      <c r="AN155" s="505"/>
      <c r="AO155" s="505"/>
      <c r="AP155" s="505"/>
      <c r="AQ155" s="505"/>
      <c r="AR155" s="505"/>
      <c r="AS155" s="505"/>
      <c r="AT155" s="505"/>
      <c r="AU155" s="505"/>
      <c r="AV155" s="505"/>
      <c r="AW155" s="505"/>
      <c r="AX155" s="505"/>
      <c r="AY155" s="505"/>
      <c r="AZ155" s="505"/>
      <c r="BA155" s="505"/>
      <c r="BB155" s="505"/>
      <c r="BC155" s="505"/>
      <c r="BD155" s="505"/>
      <c r="BE155" s="505"/>
      <c r="BF155" s="505"/>
      <c r="BG155" s="505"/>
      <c r="BH155" s="505"/>
      <c r="BI155" s="505"/>
      <c r="BJ155" s="505"/>
      <c r="BK155" s="505"/>
      <c r="BL155" s="505"/>
      <c r="BM155" s="505"/>
    </row>
    <row r="156" spans="1:65" ht="9.9499999999999993" customHeight="1">
      <c r="A156" s="505"/>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row>
    <row r="157" spans="1:65" ht="9.9499999999999993" customHeight="1">
      <c r="A157" s="505"/>
      <c r="B157" s="505"/>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505"/>
      <c r="AE157" s="505"/>
      <c r="AF157" s="505"/>
      <c r="AG157" s="505"/>
      <c r="AH157" s="505"/>
      <c r="AI157" s="505"/>
      <c r="AJ157" s="505"/>
      <c r="AK157" s="505"/>
      <c r="AL157" s="505"/>
      <c r="AM157" s="505"/>
      <c r="AN157" s="505"/>
      <c r="AO157" s="505"/>
      <c r="AP157" s="505"/>
      <c r="AQ157" s="505"/>
      <c r="AR157" s="505"/>
      <c r="AS157" s="505"/>
      <c r="AT157" s="505"/>
      <c r="AU157" s="505"/>
      <c r="AV157" s="505"/>
      <c r="AW157" s="505"/>
      <c r="AX157" s="505"/>
      <c r="AY157" s="505"/>
      <c r="AZ157" s="505"/>
      <c r="BA157" s="505"/>
      <c r="BB157" s="505"/>
      <c r="BC157" s="505"/>
      <c r="BD157" s="505"/>
      <c r="BE157" s="505"/>
      <c r="BF157" s="505"/>
      <c r="BG157" s="505"/>
      <c r="BH157" s="505"/>
      <c r="BI157" s="505"/>
      <c r="BJ157" s="505"/>
      <c r="BK157" s="505"/>
      <c r="BL157" s="505"/>
      <c r="BM157" s="505"/>
    </row>
    <row r="158" spans="1:65" ht="9.9499999999999993" customHeight="1">
      <c r="A158" s="505"/>
      <c r="B158" s="505"/>
      <c r="C158" s="505"/>
      <c r="D158" s="505"/>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row>
    <row r="159" spans="1:65" ht="9.9499999999999993" customHeight="1">
      <c r="A159" s="505"/>
      <c r="B159" s="505"/>
      <c r="C159" s="505"/>
      <c r="D159" s="505"/>
      <c r="E159" s="505"/>
      <c r="F159" s="505"/>
      <c r="G159" s="505"/>
      <c r="H159" s="505"/>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505"/>
      <c r="AE159" s="505"/>
      <c r="AF159" s="505"/>
      <c r="AG159" s="505"/>
      <c r="AH159" s="505"/>
      <c r="AI159" s="505"/>
      <c r="AJ159" s="505"/>
      <c r="AK159" s="505"/>
      <c r="AL159" s="505"/>
      <c r="AM159" s="505"/>
      <c r="AN159" s="505"/>
      <c r="AO159" s="505"/>
      <c r="AP159" s="505"/>
      <c r="AQ159" s="505"/>
      <c r="AR159" s="505"/>
      <c r="AS159" s="505"/>
      <c r="AT159" s="505"/>
      <c r="AU159" s="505"/>
      <c r="AV159" s="505"/>
      <c r="AW159" s="505"/>
      <c r="AX159" s="505"/>
      <c r="AY159" s="505"/>
      <c r="AZ159" s="505"/>
      <c r="BA159" s="505"/>
      <c r="BB159" s="505"/>
      <c r="BC159" s="505"/>
      <c r="BD159" s="505"/>
      <c r="BE159" s="505"/>
      <c r="BF159" s="505"/>
      <c r="BG159" s="505"/>
      <c r="BH159" s="505"/>
      <c r="BI159" s="505"/>
      <c r="BJ159" s="505"/>
      <c r="BK159" s="505"/>
      <c r="BL159" s="505"/>
      <c r="BM159" s="505"/>
    </row>
    <row r="160" spans="1:65" ht="9.9499999999999993" customHeight="1">
      <c r="A160" s="505"/>
      <c r="B160" s="505"/>
      <c r="C160" s="505"/>
      <c r="D160" s="505"/>
      <c r="E160" s="505"/>
      <c r="F160" s="505"/>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505"/>
      <c r="AE160" s="505"/>
      <c r="AF160" s="505"/>
      <c r="AG160" s="505"/>
      <c r="AH160" s="505"/>
      <c r="AI160" s="505"/>
      <c r="AJ160" s="505"/>
      <c r="AK160" s="505"/>
      <c r="AL160" s="505"/>
      <c r="AM160" s="505"/>
      <c r="AN160" s="505"/>
      <c r="AO160" s="505"/>
      <c r="AP160" s="505"/>
      <c r="AQ160" s="505"/>
      <c r="AR160" s="505"/>
      <c r="AS160" s="505"/>
      <c r="AT160" s="505"/>
      <c r="AU160" s="505"/>
      <c r="AV160" s="505"/>
      <c r="AW160" s="505"/>
      <c r="AX160" s="505"/>
      <c r="AY160" s="505"/>
      <c r="AZ160" s="505"/>
      <c r="BA160" s="505"/>
      <c r="BB160" s="505"/>
      <c r="BC160" s="505"/>
      <c r="BD160" s="505"/>
      <c r="BE160" s="505"/>
      <c r="BF160" s="505"/>
      <c r="BG160" s="505"/>
      <c r="BH160" s="505"/>
      <c r="BI160" s="505"/>
      <c r="BJ160" s="505"/>
      <c r="BK160" s="505"/>
      <c r="BL160" s="505"/>
      <c r="BM160" s="505"/>
    </row>
    <row r="161" spans="1:65" ht="9.9499999999999993" customHeight="1">
      <c r="A161" s="505"/>
      <c r="B161" s="505"/>
      <c r="C161" s="505"/>
      <c r="D161" s="505"/>
      <c r="E161" s="505"/>
      <c r="F161" s="505"/>
      <c r="G161" s="505"/>
      <c r="H161" s="505"/>
      <c r="I161" s="505"/>
      <c r="J161" s="505"/>
      <c r="K161" s="505"/>
      <c r="L161" s="505"/>
      <c r="M161" s="505"/>
      <c r="N161" s="505"/>
      <c r="O161" s="505"/>
      <c r="P161" s="505"/>
      <c r="Q161" s="505"/>
      <c r="R161" s="505"/>
      <c r="S161" s="505"/>
      <c r="T161" s="505"/>
      <c r="U161" s="505"/>
      <c r="V161" s="505"/>
      <c r="W161" s="505"/>
      <c r="X161" s="505"/>
      <c r="Y161" s="505"/>
      <c r="Z161" s="505"/>
      <c r="AA161" s="505"/>
      <c r="AB161" s="505"/>
      <c r="AC161" s="505"/>
      <c r="AD161" s="505"/>
      <c r="AE161" s="505"/>
      <c r="AF161" s="505"/>
      <c r="AG161" s="505"/>
      <c r="AH161" s="505"/>
      <c r="AI161" s="505"/>
      <c r="AJ161" s="505"/>
      <c r="AK161" s="505"/>
      <c r="AL161" s="505"/>
      <c r="AM161" s="505"/>
      <c r="AN161" s="505"/>
      <c r="AO161" s="505"/>
      <c r="AP161" s="505"/>
      <c r="AQ161" s="505"/>
      <c r="AR161" s="505"/>
      <c r="AS161" s="505"/>
      <c r="AT161" s="505"/>
      <c r="AU161" s="505"/>
      <c r="AV161" s="505"/>
      <c r="AW161" s="505"/>
      <c r="AX161" s="505"/>
      <c r="AY161" s="505"/>
      <c r="AZ161" s="505"/>
      <c r="BA161" s="505"/>
      <c r="BB161" s="505"/>
      <c r="BC161" s="505"/>
      <c r="BD161" s="505"/>
      <c r="BE161" s="505"/>
      <c r="BF161" s="505"/>
      <c r="BG161" s="505"/>
      <c r="BH161" s="505"/>
      <c r="BI161" s="505"/>
      <c r="BJ161" s="505"/>
      <c r="BK161" s="505"/>
      <c r="BL161" s="505"/>
      <c r="BM161" s="505"/>
    </row>
    <row r="162" spans="1:65" ht="9.9499999999999993" customHeight="1">
      <c r="A162" s="505"/>
      <c r="B162" s="505"/>
      <c r="C162" s="505"/>
      <c r="D162" s="505"/>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row>
    <row r="163" spans="1:65" ht="9.9499999999999993" customHeight="1">
      <c r="A163" s="505"/>
      <c r="B163" s="505"/>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c r="AM163" s="505"/>
      <c r="AN163" s="505"/>
      <c r="AO163" s="505"/>
      <c r="AP163" s="505"/>
      <c r="AQ163" s="505"/>
      <c r="AR163" s="505"/>
      <c r="AS163" s="505"/>
      <c r="AT163" s="505"/>
      <c r="AU163" s="505"/>
      <c r="AV163" s="505"/>
      <c r="AW163" s="505"/>
      <c r="AX163" s="505"/>
      <c r="AY163" s="505"/>
      <c r="AZ163" s="505"/>
      <c r="BA163" s="505"/>
      <c r="BB163" s="505"/>
      <c r="BC163" s="505"/>
      <c r="BD163" s="505"/>
      <c r="BE163" s="505"/>
      <c r="BF163" s="505"/>
      <c r="BG163" s="505"/>
      <c r="BH163" s="505"/>
      <c r="BI163" s="505"/>
      <c r="BJ163" s="505"/>
      <c r="BK163" s="505"/>
      <c r="BL163" s="505"/>
      <c r="BM163" s="505"/>
    </row>
    <row r="164" spans="1:65" ht="9.9499999999999993" customHeight="1">
      <c r="A164" s="505"/>
      <c r="B164" s="505"/>
      <c r="C164" s="505"/>
      <c r="D164" s="505"/>
      <c r="E164" s="505"/>
      <c r="F164" s="505"/>
      <c r="G164" s="505"/>
      <c r="H164" s="505"/>
      <c r="I164" s="505"/>
      <c r="J164" s="505"/>
      <c r="K164" s="505"/>
      <c r="L164" s="505"/>
      <c r="M164" s="505"/>
      <c r="N164" s="505"/>
      <c r="O164" s="505"/>
      <c r="P164" s="505"/>
      <c r="Q164" s="505"/>
      <c r="R164" s="505"/>
      <c r="S164" s="505"/>
      <c r="T164" s="505"/>
      <c r="U164" s="505"/>
      <c r="V164" s="505"/>
      <c r="W164" s="505"/>
      <c r="X164" s="505"/>
      <c r="Y164" s="505"/>
      <c r="Z164" s="505"/>
      <c r="AA164" s="505"/>
      <c r="AB164" s="505"/>
      <c r="AC164" s="505"/>
      <c r="AD164" s="505"/>
      <c r="AE164" s="505"/>
      <c r="AF164" s="505"/>
      <c r="AG164" s="505"/>
      <c r="AH164" s="505"/>
      <c r="AI164" s="505"/>
      <c r="AJ164" s="505"/>
      <c r="AK164" s="505"/>
      <c r="AL164" s="505"/>
      <c r="AM164" s="505"/>
      <c r="AN164" s="505"/>
      <c r="AO164" s="505"/>
      <c r="AP164" s="505"/>
      <c r="AQ164" s="505"/>
      <c r="AR164" s="505"/>
      <c r="AS164" s="505"/>
      <c r="AT164" s="505"/>
      <c r="AU164" s="505"/>
      <c r="AV164" s="505"/>
      <c r="AW164" s="505"/>
      <c r="AX164" s="505"/>
      <c r="AY164" s="505"/>
      <c r="AZ164" s="505"/>
      <c r="BA164" s="505"/>
      <c r="BB164" s="505"/>
      <c r="BC164" s="505"/>
      <c r="BD164" s="505"/>
      <c r="BE164" s="505"/>
      <c r="BF164" s="505"/>
      <c r="BG164" s="505"/>
      <c r="BH164" s="505"/>
      <c r="BI164" s="505"/>
      <c r="BJ164" s="505"/>
      <c r="BK164" s="505"/>
      <c r="BL164" s="505"/>
      <c r="BM164" s="505"/>
    </row>
    <row r="165" spans="1:65" ht="9.9499999999999993" customHeight="1">
      <c r="A165" s="505"/>
      <c r="B165" s="505"/>
      <c r="C165" s="505"/>
      <c r="D165" s="505"/>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c r="BC165" s="505"/>
      <c r="BD165" s="505"/>
      <c r="BE165" s="505"/>
      <c r="BF165" s="505"/>
      <c r="BG165" s="505"/>
      <c r="BH165" s="505"/>
      <c r="BI165" s="505"/>
      <c r="BJ165" s="505"/>
      <c r="BK165" s="505"/>
      <c r="BL165" s="505"/>
      <c r="BM165" s="505"/>
    </row>
    <row r="166" spans="1:65" ht="9.9499999999999993" customHeight="1">
      <c r="A166" s="505"/>
      <c r="B166" s="505"/>
      <c r="C166" s="505"/>
      <c r="D166" s="505"/>
      <c r="E166" s="505"/>
      <c r="F166" s="505"/>
      <c r="G166" s="505"/>
      <c r="H166" s="505"/>
      <c r="I166" s="505"/>
      <c r="J166" s="505"/>
      <c r="K166" s="505"/>
      <c r="L166" s="505"/>
      <c r="M166" s="505"/>
      <c r="N166" s="505"/>
      <c r="O166" s="505"/>
      <c r="P166" s="505"/>
      <c r="Q166" s="505"/>
      <c r="R166" s="505"/>
      <c r="S166" s="505"/>
      <c r="T166" s="505"/>
      <c r="U166" s="505"/>
      <c r="V166" s="505"/>
      <c r="W166" s="505"/>
      <c r="X166" s="505"/>
      <c r="Y166" s="505"/>
      <c r="Z166" s="505"/>
      <c r="AA166" s="505"/>
      <c r="AB166" s="505"/>
      <c r="AC166" s="505"/>
      <c r="AD166" s="505"/>
      <c r="AE166" s="505"/>
      <c r="AF166" s="505"/>
      <c r="AG166" s="505"/>
      <c r="AH166" s="505"/>
      <c r="AI166" s="505"/>
      <c r="AJ166" s="505"/>
      <c r="AK166" s="505"/>
      <c r="AL166" s="505"/>
      <c r="AM166" s="505"/>
      <c r="AN166" s="505"/>
      <c r="AO166" s="505"/>
      <c r="AP166" s="505"/>
      <c r="AQ166" s="505"/>
      <c r="AR166" s="505"/>
      <c r="AS166" s="505"/>
      <c r="AT166" s="505"/>
      <c r="AU166" s="505"/>
      <c r="AV166" s="505"/>
      <c r="AW166" s="505"/>
      <c r="AX166" s="505"/>
      <c r="AY166" s="505"/>
      <c r="AZ166" s="505"/>
      <c r="BA166" s="505"/>
      <c r="BB166" s="505"/>
      <c r="BC166" s="505"/>
      <c r="BD166" s="505"/>
      <c r="BE166" s="505"/>
      <c r="BF166" s="505"/>
      <c r="BG166" s="505"/>
      <c r="BH166" s="505"/>
      <c r="BI166" s="505"/>
      <c r="BJ166" s="505"/>
      <c r="BK166" s="505"/>
      <c r="BL166" s="505"/>
      <c r="BM166" s="505"/>
    </row>
    <row r="167" spans="1:65" ht="9.9499999999999993" customHeight="1">
      <c r="A167" s="505"/>
      <c r="B167" s="505"/>
      <c r="C167" s="505"/>
      <c r="D167" s="505"/>
      <c r="E167" s="505"/>
      <c r="F167" s="505"/>
      <c r="G167" s="505"/>
      <c r="H167" s="505"/>
      <c r="I167" s="505"/>
      <c r="J167" s="505"/>
      <c r="K167" s="505"/>
      <c r="L167" s="505"/>
      <c r="M167" s="505"/>
      <c r="N167" s="505"/>
      <c r="O167" s="505"/>
      <c r="P167" s="505"/>
      <c r="Q167" s="505"/>
      <c r="R167" s="505"/>
      <c r="S167" s="505"/>
      <c r="T167" s="505"/>
      <c r="U167" s="505"/>
      <c r="V167" s="505"/>
      <c r="W167" s="505"/>
      <c r="X167" s="505"/>
      <c r="Y167" s="505"/>
      <c r="Z167" s="505"/>
      <c r="AA167" s="505"/>
      <c r="AB167" s="505"/>
      <c r="AC167" s="505"/>
      <c r="AD167" s="505"/>
      <c r="AE167" s="505"/>
      <c r="AF167" s="505"/>
      <c r="AG167" s="505"/>
      <c r="AH167" s="505"/>
      <c r="AI167" s="505"/>
      <c r="AJ167" s="505"/>
      <c r="AK167" s="505"/>
      <c r="AL167" s="505"/>
      <c r="AM167" s="505"/>
      <c r="AN167" s="505"/>
      <c r="AO167" s="505"/>
      <c r="AP167" s="505"/>
      <c r="AQ167" s="505"/>
      <c r="AR167" s="505"/>
      <c r="AS167" s="505"/>
      <c r="AT167" s="505"/>
      <c r="AU167" s="505"/>
      <c r="AV167" s="505"/>
      <c r="AW167" s="505"/>
      <c r="AX167" s="505"/>
      <c r="AY167" s="505"/>
      <c r="AZ167" s="505"/>
      <c r="BA167" s="505"/>
      <c r="BB167" s="505"/>
      <c r="BC167" s="505"/>
      <c r="BD167" s="505"/>
      <c r="BE167" s="505"/>
      <c r="BF167" s="505"/>
      <c r="BG167" s="505"/>
      <c r="BH167" s="505"/>
      <c r="BI167" s="505"/>
      <c r="BJ167" s="505"/>
      <c r="BK167" s="505"/>
      <c r="BL167" s="505"/>
      <c r="BM167" s="505"/>
    </row>
    <row r="168" spans="1:65" ht="9.9499999999999993" customHeight="1">
      <c r="A168" s="505"/>
      <c r="B168" s="505"/>
      <c r="C168" s="505"/>
      <c r="D168" s="505"/>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505"/>
      <c r="AE168" s="505"/>
      <c r="AF168" s="505"/>
      <c r="AG168" s="505"/>
      <c r="AH168" s="505"/>
      <c r="AI168" s="505"/>
      <c r="AJ168" s="505"/>
      <c r="AK168" s="505"/>
      <c r="AL168" s="505"/>
      <c r="AM168" s="505"/>
      <c r="AN168" s="505"/>
      <c r="AO168" s="505"/>
      <c r="AP168" s="505"/>
      <c r="AQ168" s="505"/>
      <c r="AR168" s="505"/>
      <c r="AS168" s="505"/>
      <c r="AT168" s="505"/>
      <c r="AU168" s="505"/>
      <c r="AV168" s="505"/>
      <c r="AW168" s="505"/>
      <c r="AX168" s="505"/>
      <c r="AY168" s="505"/>
      <c r="AZ168" s="505"/>
      <c r="BA168" s="505"/>
      <c r="BB168" s="505"/>
      <c r="BC168" s="505"/>
      <c r="BD168" s="505"/>
      <c r="BE168" s="505"/>
      <c r="BF168" s="505"/>
      <c r="BG168" s="505"/>
      <c r="BH168" s="505"/>
      <c r="BI168" s="505"/>
      <c r="BJ168" s="505"/>
      <c r="BK168" s="505"/>
      <c r="BL168" s="505"/>
      <c r="BM168" s="505"/>
    </row>
    <row r="169" spans="1:65" ht="9.9499999999999993" customHeight="1">
      <c r="A169" s="505"/>
      <c r="B169" s="505"/>
      <c r="C169" s="505"/>
      <c r="D169" s="505"/>
      <c r="E169" s="505"/>
      <c r="F169" s="505"/>
      <c r="G169" s="505"/>
      <c r="H169" s="505"/>
      <c r="I169" s="505"/>
      <c r="J169" s="505"/>
      <c r="K169" s="505"/>
      <c r="L169" s="505"/>
      <c r="M169" s="505"/>
      <c r="N169" s="505"/>
      <c r="O169" s="505"/>
      <c r="P169" s="505"/>
      <c r="Q169" s="505"/>
      <c r="R169" s="505"/>
      <c r="S169" s="505"/>
      <c r="T169" s="505"/>
      <c r="U169" s="505"/>
      <c r="V169" s="505"/>
      <c r="W169" s="505"/>
      <c r="X169" s="505"/>
      <c r="Y169" s="505"/>
      <c r="Z169" s="505"/>
      <c r="AA169" s="505"/>
      <c r="AB169" s="505"/>
      <c r="AC169" s="505"/>
      <c r="AD169" s="505"/>
      <c r="AE169" s="505"/>
      <c r="AF169" s="505"/>
      <c r="AG169" s="505"/>
      <c r="AH169" s="505"/>
      <c r="AI169" s="505"/>
      <c r="AJ169" s="505"/>
      <c r="AK169" s="505"/>
      <c r="AL169" s="505"/>
      <c r="AM169" s="505"/>
      <c r="AN169" s="505"/>
      <c r="AO169" s="505"/>
      <c r="AP169" s="505"/>
      <c r="AQ169" s="505"/>
      <c r="AR169" s="505"/>
      <c r="AS169" s="505"/>
      <c r="AT169" s="505"/>
      <c r="AU169" s="505"/>
      <c r="AV169" s="505"/>
      <c r="AW169" s="505"/>
      <c r="AX169" s="505"/>
      <c r="AY169" s="505"/>
      <c r="AZ169" s="505"/>
      <c r="BA169" s="505"/>
      <c r="BB169" s="505"/>
      <c r="BC169" s="505"/>
      <c r="BD169" s="505"/>
      <c r="BE169" s="505"/>
      <c r="BF169" s="505"/>
      <c r="BG169" s="505"/>
      <c r="BH169" s="505"/>
      <c r="BI169" s="505"/>
      <c r="BJ169" s="505"/>
      <c r="BK169" s="505"/>
      <c r="BL169" s="505"/>
      <c r="BM169" s="505"/>
    </row>
    <row r="170" spans="1:65" ht="9.9499999999999993" customHeight="1">
      <c r="A170" s="505"/>
      <c r="B170" s="505"/>
      <c r="C170" s="505"/>
      <c r="D170" s="505"/>
      <c r="E170" s="505"/>
      <c r="F170" s="505"/>
      <c r="G170" s="505"/>
      <c r="H170" s="505"/>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row>
    <row r="171" spans="1:65" ht="9.9499999999999993" customHeight="1">
      <c r="A171" s="505"/>
      <c r="B171" s="505"/>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505"/>
      <c r="AF171" s="505"/>
      <c r="AG171" s="505"/>
      <c r="AH171" s="505"/>
      <c r="AI171" s="505"/>
      <c r="AJ171" s="505"/>
      <c r="AK171" s="505"/>
      <c r="AL171" s="505"/>
      <c r="AM171" s="505"/>
      <c r="AN171" s="505"/>
      <c r="AO171" s="505"/>
      <c r="AP171" s="505"/>
      <c r="AQ171" s="505"/>
      <c r="AR171" s="505"/>
      <c r="AS171" s="505"/>
      <c r="AT171" s="505"/>
      <c r="AU171" s="505"/>
      <c r="AV171" s="505"/>
      <c r="AW171" s="505"/>
      <c r="AX171" s="505"/>
      <c r="AY171" s="505"/>
      <c r="AZ171" s="505"/>
      <c r="BA171" s="505"/>
      <c r="BB171" s="505"/>
      <c r="BC171" s="505"/>
      <c r="BD171" s="505"/>
      <c r="BE171" s="505"/>
      <c r="BF171" s="505"/>
      <c r="BG171" s="505"/>
      <c r="BH171" s="505"/>
      <c r="BI171" s="505"/>
      <c r="BJ171" s="505"/>
      <c r="BK171" s="505"/>
      <c r="BL171" s="505"/>
      <c r="BM171" s="505"/>
    </row>
    <row r="172" spans="1:65" ht="9.9499999999999993" customHeight="1">
      <c r="A172" s="505"/>
      <c r="B172" s="505"/>
      <c r="C172" s="505"/>
      <c r="D172" s="505"/>
      <c r="E172" s="505"/>
      <c r="F172" s="505"/>
      <c r="G172" s="505"/>
      <c r="H172" s="505"/>
      <c r="I172" s="505"/>
      <c r="J172" s="505"/>
      <c r="K172" s="505"/>
      <c r="L172" s="505"/>
      <c r="M172" s="505"/>
      <c r="N172" s="505"/>
      <c r="O172" s="505"/>
      <c r="P172" s="505"/>
      <c r="Q172" s="505"/>
      <c r="R172" s="505"/>
      <c r="S172" s="505"/>
      <c r="T172" s="505"/>
      <c r="U172" s="505"/>
      <c r="V172" s="505"/>
      <c r="W172" s="505"/>
      <c r="X172" s="505"/>
      <c r="Y172" s="505"/>
      <c r="Z172" s="505"/>
      <c r="AA172" s="505"/>
      <c r="AB172" s="505"/>
      <c r="AC172" s="505"/>
      <c r="AD172" s="505"/>
      <c r="AE172" s="505"/>
      <c r="AF172" s="505"/>
      <c r="AG172" s="505"/>
      <c r="AH172" s="505"/>
      <c r="AI172" s="505"/>
      <c r="AJ172" s="505"/>
      <c r="AK172" s="505"/>
      <c r="AL172" s="505"/>
      <c r="AM172" s="505"/>
      <c r="AN172" s="505"/>
      <c r="AO172" s="505"/>
      <c r="AP172" s="505"/>
      <c r="AQ172" s="505"/>
      <c r="AR172" s="505"/>
      <c r="AS172" s="505"/>
      <c r="AT172" s="505"/>
      <c r="AU172" s="505"/>
      <c r="AV172" s="505"/>
      <c r="AW172" s="505"/>
      <c r="AX172" s="505"/>
      <c r="AY172" s="505"/>
      <c r="AZ172" s="505"/>
      <c r="BA172" s="505"/>
      <c r="BB172" s="505"/>
      <c r="BC172" s="505"/>
      <c r="BD172" s="505"/>
      <c r="BE172" s="505"/>
      <c r="BF172" s="505"/>
      <c r="BG172" s="505"/>
      <c r="BH172" s="505"/>
      <c r="BI172" s="505"/>
      <c r="BJ172" s="505"/>
      <c r="BK172" s="505"/>
      <c r="BL172" s="505"/>
      <c r="BM172" s="505"/>
    </row>
    <row r="173" spans="1:65" ht="9.9499999999999993" customHeight="1">
      <c r="A173" s="505"/>
      <c r="B173" s="505"/>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505"/>
      <c r="AF173" s="505"/>
      <c r="AG173" s="505"/>
      <c r="AH173" s="505"/>
      <c r="AI173" s="505"/>
      <c r="AJ173" s="505"/>
      <c r="AK173" s="505"/>
      <c r="AL173" s="505"/>
      <c r="AM173" s="505"/>
      <c r="AN173" s="505"/>
      <c r="AO173" s="505"/>
      <c r="AP173" s="505"/>
      <c r="AQ173" s="505"/>
      <c r="AR173" s="505"/>
      <c r="AS173" s="505"/>
      <c r="AT173" s="505"/>
      <c r="AU173" s="505"/>
      <c r="AV173" s="505"/>
      <c r="AW173" s="505"/>
      <c r="AX173" s="505"/>
      <c r="AY173" s="505"/>
      <c r="AZ173" s="505"/>
      <c r="BA173" s="505"/>
      <c r="BB173" s="505"/>
      <c r="BC173" s="505"/>
      <c r="BD173" s="505"/>
      <c r="BE173" s="505"/>
      <c r="BF173" s="505"/>
      <c r="BG173" s="505"/>
      <c r="BH173" s="505"/>
      <c r="BI173" s="505"/>
      <c r="BJ173" s="505"/>
      <c r="BK173" s="505"/>
      <c r="BL173" s="505"/>
      <c r="BM173" s="505"/>
    </row>
    <row r="174" spans="1:65" ht="9.9499999999999993" customHeight="1">
      <c r="A174" s="505"/>
      <c r="B174" s="505"/>
      <c r="C174" s="505"/>
      <c r="D174" s="505"/>
      <c r="E174" s="505"/>
      <c r="F174" s="505"/>
      <c r="G174" s="505"/>
      <c r="H174" s="505"/>
      <c r="I174" s="505"/>
      <c r="J174" s="505"/>
      <c r="K174" s="505"/>
      <c r="L174" s="505"/>
      <c r="M174" s="505"/>
      <c r="N174" s="505"/>
      <c r="O174" s="505"/>
      <c r="P174" s="505"/>
      <c r="Q174" s="505"/>
      <c r="R174" s="505"/>
      <c r="S174" s="505"/>
      <c r="T174" s="505"/>
      <c r="U174" s="505"/>
      <c r="V174" s="505"/>
      <c r="W174" s="505"/>
      <c r="X174" s="505"/>
      <c r="Y174" s="505"/>
      <c r="Z174" s="505"/>
      <c r="AA174" s="505"/>
      <c r="AB174" s="505"/>
      <c r="AC174" s="505"/>
      <c r="AD174" s="505"/>
      <c r="AE174" s="505"/>
      <c r="AF174" s="505"/>
      <c r="AG174" s="505"/>
      <c r="AH174" s="505"/>
      <c r="AI174" s="505"/>
      <c r="AJ174" s="505"/>
      <c r="AK174" s="505"/>
      <c r="AL174" s="505"/>
      <c r="AM174" s="505"/>
      <c r="AN174" s="505"/>
      <c r="AO174" s="505"/>
      <c r="AP174" s="505"/>
      <c r="AQ174" s="505"/>
      <c r="AR174" s="505"/>
      <c r="AS174" s="505"/>
      <c r="AT174" s="505"/>
      <c r="AU174" s="505"/>
      <c r="AV174" s="505"/>
      <c r="AW174" s="505"/>
      <c r="AX174" s="505"/>
      <c r="AY174" s="505"/>
      <c r="AZ174" s="505"/>
      <c r="BA174" s="505"/>
      <c r="BB174" s="505"/>
      <c r="BC174" s="505"/>
      <c r="BD174" s="505"/>
      <c r="BE174" s="505"/>
      <c r="BF174" s="505"/>
      <c r="BG174" s="505"/>
      <c r="BH174" s="505"/>
      <c r="BI174" s="505"/>
      <c r="BJ174" s="505"/>
      <c r="BK174" s="505"/>
      <c r="BL174" s="505"/>
      <c r="BM174" s="505"/>
    </row>
    <row r="175" spans="1:65" ht="9.9499999999999993" customHeight="1">
      <c r="A175" s="505"/>
      <c r="B175" s="505"/>
      <c r="C175" s="505"/>
      <c r="D175" s="505"/>
      <c r="E175" s="505"/>
      <c r="F175" s="505"/>
      <c r="G175" s="505"/>
      <c r="H175" s="505"/>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row>
    <row r="176" spans="1:65" ht="9.9499999999999993" customHeight="1">
      <c r="A176" s="505"/>
      <c r="B176" s="505"/>
      <c r="C176" s="505"/>
      <c r="D176" s="505"/>
      <c r="E176" s="505"/>
      <c r="F176" s="505"/>
      <c r="G176" s="505"/>
      <c r="H176" s="505"/>
      <c r="I176" s="505"/>
      <c r="J176" s="505"/>
      <c r="K176" s="505"/>
      <c r="L176" s="505"/>
      <c r="M176" s="505"/>
      <c r="N176" s="505"/>
      <c r="O176" s="505"/>
      <c r="P176" s="505"/>
      <c r="Q176" s="505"/>
      <c r="R176" s="505"/>
      <c r="S176" s="505"/>
      <c r="T176" s="505"/>
      <c r="U176" s="505"/>
      <c r="V176" s="505"/>
      <c r="W176" s="505"/>
      <c r="X176" s="505"/>
      <c r="Y176" s="505"/>
      <c r="Z176" s="505"/>
      <c r="AA176" s="505"/>
      <c r="AB176" s="505"/>
      <c r="AC176" s="505"/>
      <c r="AD176" s="505"/>
      <c r="AE176" s="505"/>
      <c r="AF176" s="505"/>
      <c r="AG176" s="505"/>
      <c r="AH176" s="505"/>
      <c r="AI176" s="505"/>
      <c r="AJ176" s="505"/>
      <c r="AK176" s="505"/>
      <c r="AL176" s="505"/>
      <c r="AM176" s="505"/>
      <c r="AN176" s="505"/>
      <c r="AO176" s="505"/>
      <c r="AP176" s="505"/>
      <c r="AQ176" s="505"/>
      <c r="AR176" s="505"/>
      <c r="AS176" s="505"/>
      <c r="AT176" s="505"/>
      <c r="AU176" s="505"/>
      <c r="AV176" s="505"/>
      <c r="AW176" s="505"/>
      <c r="AX176" s="505"/>
      <c r="AY176" s="505"/>
      <c r="AZ176" s="505"/>
      <c r="BA176" s="505"/>
      <c r="BB176" s="505"/>
      <c r="BC176" s="505"/>
      <c r="BD176" s="505"/>
      <c r="BE176" s="505"/>
      <c r="BF176" s="505"/>
      <c r="BG176" s="505"/>
      <c r="BH176" s="505"/>
      <c r="BI176" s="505"/>
      <c r="BJ176" s="505"/>
      <c r="BK176" s="505"/>
      <c r="BL176" s="505"/>
      <c r="BM176" s="505"/>
    </row>
    <row r="177" spans="1:65" ht="9.9499999999999993" customHeight="1">
      <c r="A177" s="505"/>
      <c r="B177" s="505"/>
      <c r="C177" s="505"/>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row>
    <row r="178" spans="1:65" ht="9.9499999999999993" customHeight="1">
      <c r="A178" s="505"/>
      <c r="B178" s="505"/>
      <c r="C178" s="505"/>
      <c r="D178" s="505"/>
      <c r="E178" s="505"/>
      <c r="F178" s="505"/>
      <c r="G178" s="505"/>
      <c r="H178" s="505"/>
      <c r="I178" s="505"/>
      <c r="J178" s="505"/>
      <c r="K178" s="505"/>
      <c r="L178" s="505"/>
      <c r="M178" s="505"/>
      <c r="N178" s="505"/>
      <c r="O178" s="505"/>
      <c r="P178" s="505"/>
      <c r="Q178" s="505"/>
      <c r="R178" s="505"/>
      <c r="S178" s="505"/>
      <c r="T178" s="505"/>
      <c r="U178" s="505"/>
      <c r="V178" s="505"/>
      <c r="W178" s="505"/>
      <c r="X178" s="505"/>
      <c r="Y178" s="505"/>
      <c r="Z178" s="505"/>
      <c r="AA178" s="505"/>
      <c r="AB178" s="505"/>
      <c r="AC178" s="505"/>
      <c r="AD178" s="505"/>
      <c r="AE178" s="505"/>
      <c r="AF178" s="505"/>
      <c r="AG178" s="505"/>
      <c r="AH178" s="505"/>
      <c r="AI178" s="505"/>
      <c r="AJ178" s="505"/>
      <c r="AK178" s="505"/>
      <c r="AL178" s="505"/>
      <c r="AM178" s="505"/>
      <c r="AN178" s="505"/>
      <c r="AO178" s="505"/>
      <c r="AP178" s="505"/>
      <c r="AQ178" s="505"/>
      <c r="AR178" s="505"/>
      <c r="AS178" s="505"/>
      <c r="AT178" s="505"/>
      <c r="AU178" s="505"/>
      <c r="AV178" s="505"/>
      <c r="AW178" s="505"/>
      <c r="AX178" s="505"/>
      <c r="AY178" s="505"/>
      <c r="AZ178" s="505"/>
      <c r="BA178" s="505"/>
      <c r="BB178" s="505"/>
      <c r="BC178" s="505"/>
      <c r="BD178" s="505"/>
      <c r="BE178" s="505"/>
      <c r="BF178" s="505"/>
      <c r="BG178" s="505"/>
      <c r="BH178" s="505"/>
      <c r="BI178" s="505"/>
      <c r="BJ178" s="505"/>
      <c r="BK178" s="505"/>
      <c r="BL178" s="505"/>
      <c r="BM178" s="505"/>
    </row>
    <row r="179" spans="1:65" ht="9.9499999999999993" customHeight="1">
      <c r="A179" s="505"/>
      <c r="B179" s="505"/>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505"/>
      <c r="AF179" s="505"/>
      <c r="AG179" s="505"/>
      <c r="AH179" s="505"/>
      <c r="AI179" s="505"/>
      <c r="AJ179" s="505"/>
      <c r="AK179" s="505"/>
      <c r="AL179" s="505"/>
      <c r="AM179" s="505"/>
      <c r="AN179" s="505"/>
      <c r="AO179" s="505"/>
      <c r="AP179" s="505"/>
      <c r="AQ179" s="505"/>
      <c r="AR179" s="505"/>
      <c r="AS179" s="505"/>
      <c r="AT179" s="505"/>
      <c r="AU179" s="505"/>
      <c r="AV179" s="505"/>
      <c r="AW179" s="505"/>
      <c r="AX179" s="505"/>
      <c r="AY179" s="505"/>
      <c r="AZ179" s="505"/>
      <c r="BA179" s="505"/>
      <c r="BB179" s="505"/>
      <c r="BC179" s="505"/>
      <c r="BD179" s="505"/>
      <c r="BE179" s="505"/>
      <c r="BF179" s="505"/>
      <c r="BG179" s="505"/>
      <c r="BH179" s="505"/>
      <c r="BI179" s="505"/>
      <c r="BJ179" s="505"/>
      <c r="BK179" s="505"/>
      <c r="BL179" s="505"/>
      <c r="BM179" s="505"/>
    </row>
    <row r="180" spans="1:65" ht="9.9499999999999993" customHeight="1">
      <c r="A180" s="505"/>
      <c r="B180" s="505"/>
      <c r="C180" s="505"/>
      <c r="D180" s="505"/>
      <c r="E180" s="505"/>
      <c r="F180" s="505"/>
      <c r="G180" s="505"/>
      <c r="H180" s="505"/>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row>
    <row r="181" spans="1:65" ht="9.9499999999999993" customHeight="1">
      <c r="A181" s="505"/>
      <c r="B181" s="505"/>
      <c r="C181" s="505"/>
      <c r="D181" s="505"/>
      <c r="E181" s="505"/>
      <c r="F181" s="505"/>
      <c r="G181" s="505"/>
      <c r="H181" s="505"/>
      <c r="I181" s="505"/>
      <c r="J181" s="505"/>
      <c r="K181" s="505"/>
      <c r="L181" s="505"/>
      <c r="M181" s="505"/>
      <c r="N181" s="505"/>
      <c r="O181" s="505"/>
      <c r="P181" s="505"/>
      <c r="Q181" s="505"/>
      <c r="R181" s="505"/>
      <c r="S181" s="505"/>
      <c r="T181" s="505"/>
      <c r="U181" s="505"/>
      <c r="V181" s="505"/>
      <c r="W181" s="505"/>
      <c r="X181" s="505"/>
      <c r="Y181" s="505"/>
      <c r="Z181" s="505"/>
      <c r="AA181" s="505"/>
      <c r="AB181" s="505"/>
      <c r="AC181" s="505"/>
      <c r="AD181" s="505"/>
      <c r="AE181" s="505"/>
      <c r="AF181" s="505"/>
      <c r="AG181" s="505"/>
      <c r="AH181" s="505"/>
      <c r="AI181" s="505"/>
      <c r="AJ181" s="505"/>
      <c r="AK181" s="505"/>
      <c r="AL181" s="505"/>
      <c r="AM181" s="505"/>
      <c r="AN181" s="505"/>
      <c r="AO181" s="505"/>
      <c r="AP181" s="505"/>
      <c r="AQ181" s="505"/>
      <c r="AR181" s="505"/>
      <c r="AS181" s="505"/>
      <c r="AT181" s="505"/>
      <c r="AU181" s="505"/>
      <c r="AV181" s="505"/>
      <c r="AW181" s="505"/>
      <c r="AX181" s="505"/>
      <c r="AY181" s="505"/>
      <c r="AZ181" s="505"/>
      <c r="BA181" s="505"/>
      <c r="BB181" s="505"/>
      <c r="BC181" s="505"/>
      <c r="BD181" s="505"/>
      <c r="BE181" s="505"/>
      <c r="BF181" s="505"/>
      <c r="BG181" s="505"/>
      <c r="BH181" s="505"/>
      <c r="BI181" s="505"/>
      <c r="BJ181" s="505"/>
      <c r="BK181" s="505"/>
      <c r="BL181" s="505"/>
      <c r="BM181" s="505"/>
    </row>
    <row r="182" spans="1:65" ht="9.9499999999999993" customHeight="1">
      <c r="A182" s="505"/>
      <c r="B182" s="505"/>
      <c r="C182" s="505"/>
      <c r="D182" s="505"/>
      <c r="E182" s="505"/>
      <c r="F182" s="505"/>
      <c r="G182" s="505"/>
      <c r="H182" s="505"/>
      <c r="I182" s="505"/>
      <c r="J182" s="505"/>
      <c r="K182" s="505"/>
      <c r="L182" s="505"/>
      <c r="M182" s="505"/>
      <c r="N182" s="505"/>
      <c r="O182" s="505"/>
      <c r="P182" s="505"/>
      <c r="Q182" s="505"/>
      <c r="R182" s="505"/>
      <c r="S182" s="505"/>
      <c r="T182" s="505"/>
      <c r="U182" s="505"/>
      <c r="V182" s="505"/>
      <c r="W182" s="505"/>
      <c r="X182" s="505"/>
      <c r="Y182" s="505"/>
      <c r="Z182" s="505"/>
      <c r="AA182" s="505"/>
      <c r="AB182" s="505"/>
      <c r="AC182" s="505"/>
      <c r="AD182" s="505"/>
      <c r="AE182" s="505"/>
      <c r="AF182" s="505"/>
      <c r="AG182" s="505"/>
      <c r="AH182" s="505"/>
      <c r="AI182" s="505"/>
      <c r="AJ182" s="505"/>
      <c r="AK182" s="505"/>
      <c r="AL182" s="505"/>
      <c r="AM182" s="505"/>
      <c r="AN182" s="505"/>
      <c r="AO182" s="505"/>
      <c r="AP182" s="505"/>
      <c r="AQ182" s="505"/>
      <c r="AR182" s="505"/>
      <c r="AS182" s="505"/>
      <c r="AT182" s="505"/>
      <c r="AU182" s="505"/>
      <c r="AV182" s="505"/>
      <c r="AW182" s="505"/>
      <c r="AX182" s="505"/>
      <c r="AY182" s="505"/>
      <c r="AZ182" s="505"/>
      <c r="BA182" s="505"/>
      <c r="BB182" s="505"/>
      <c r="BC182" s="505"/>
      <c r="BD182" s="505"/>
      <c r="BE182" s="505"/>
      <c r="BF182" s="505"/>
      <c r="BG182" s="505"/>
      <c r="BH182" s="505"/>
      <c r="BI182" s="505"/>
      <c r="BJ182" s="505"/>
      <c r="BK182" s="505"/>
      <c r="BL182" s="505"/>
      <c r="BM182" s="505"/>
    </row>
    <row r="183" spans="1:65" ht="9.9499999999999993" customHeight="1">
      <c r="A183" s="505"/>
      <c r="B183" s="505"/>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5"/>
      <c r="AN183" s="505"/>
      <c r="AO183" s="505"/>
      <c r="AP183" s="505"/>
      <c r="AQ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row>
    <row r="184" spans="1:65" ht="9.9499999999999993" customHeight="1">
      <c r="A184" s="505"/>
      <c r="B184" s="505"/>
      <c r="C184" s="505"/>
      <c r="D184" s="505"/>
      <c r="E184" s="505"/>
      <c r="F184" s="505"/>
      <c r="G184" s="505"/>
      <c r="H184" s="505"/>
      <c r="I184" s="505"/>
      <c r="J184" s="505"/>
      <c r="K184" s="505"/>
      <c r="L184" s="505"/>
      <c r="M184" s="505"/>
      <c r="N184" s="505"/>
      <c r="O184" s="505"/>
      <c r="P184" s="505"/>
      <c r="Q184" s="505"/>
      <c r="R184" s="505"/>
      <c r="S184" s="505"/>
      <c r="T184" s="505"/>
      <c r="U184" s="505"/>
      <c r="V184" s="505"/>
      <c r="W184" s="505"/>
      <c r="X184" s="505"/>
      <c r="Y184" s="505"/>
      <c r="Z184" s="505"/>
      <c r="AA184" s="505"/>
      <c r="AB184" s="505"/>
      <c r="AC184" s="505"/>
      <c r="AD184" s="505"/>
      <c r="AE184" s="505"/>
      <c r="AF184" s="505"/>
      <c r="AG184" s="505"/>
      <c r="AH184" s="505"/>
      <c r="AI184" s="505"/>
      <c r="AJ184" s="505"/>
      <c r="AK184" s="505"/>
      <c r="AL184" s="505"/>
      <c r="AM184" s="505"/>
      <c r="AN184" s="505"/>
      <c r="AO184" s="505"/>
      <c r="AP184" s="505"/>
      <c r="AQ184" s="505"/>
      <c r="AR184" s="505"/>
      <c r="AS184" s="505"/>
      <c r="AT184" s="505"/>
      <c r="AU184" s="505"/>
      <c r="AV184" s="505"/>
      <c r="AW184" s="505"/>
      <c r="AX184" s="505"/>
      <c r="AY184" s="505"/>
      <c r="AZ184" s="505"/>
      <c r="BA184" s="505"/>
      <c r="BB184" s="505"/>
      <c r="BC184" s="505"/>
      <c r="BD184" s="505"/>
      <c r="BE184" s="505"/>
      <c r="BF184" s="505"/>
      <c r="BG184" s="505"/>
      <c r="BH184" s="505"/>
      <c r="BI184" s="505"/>
      <c r="BJ184" s="505"/>
      <c r="BK184" s="505"/>
      <c r="BL184" s="505"/>
      <c r="BM184" s="505"/>
    </row>
    <row r="185" spans="1:65" ht="9.9499999999999993" customHeight="1">
      <c r="A185" s="505"/>
      <c r="B185" s="505"/>
      <c r="C185" s="505"/>
      <c r="D185" s="505"/>
      <c r="E185" s="505"/>
      <c r="F185" s="505"/>
      <c r="G185" s="505"/>
      <c r="H185" s="505"/>
      <c r="I185" s="505"/>
      <c r="J185" s="505"/>
      <c r="K185" s="505"/>
      <c r="L185" s="505"/>
      <c r="M185" s="505"/>
      <c r="N185" s="505"/>
      <c r="O185" s="505"/>
      <c r="P185" s="505"/>
      <c r="Q185" s="505"/>
      <c r="R185" s="505"/>
      <c r="S185" s="505"/>
      <c r="T185" s="505"/>
      <c r="U185" s="505"/>
      <c r="V185" s="505"/>
      <c r="W185" s="505"/>
      <c r="X185" s="505"/>
      <c r="Y185" s="505"/>
      <c r="Z185" s="505"/>
      <c r="AA185" s="505"/>
      <c r="AB185" s="505"/>
      <c r="AC185" s="505"/>
      <c r="AD185" s="505"/>
      <c r="AE185" s="505"/>
      <c r="AF185" s="505"/>
      <c r="AG185" s="505"/>
      <c r="AH185" s="505"/>
      <c r="AI185" s="505"/>
      <c r="AJ185" s="505"/>
      <c r="AK185" s="505"/>
      <c r="AL185" s="505"/>
      <c r="AM185" s="505"/>
      <c r="AN185" s="505"/>
      <c r="AO185" s="505"/>
      <c r="AP185" s="505"/>
      <c r="AQ185" s="505"/>
      <c r="AR185" s="505"/>
      <c r="AS185" s="505"/>
      <c r="AT185" s="505"/>
      <c r="AU185" s="505"/>
      <c r="AV185" s="505"/>
      <c r="AW185" s="505"/>
      <c r="AX185" s="505"/>
      <c r="AY185" s="505"/>
      <c r="AZ185" s="505"/>
      <c r="BA185" s="505"/>
      <c r="BB185" s="505"/>
      <c r="BC185" s="505"/>
      <c r="BD185" s="505"/>
      <c r="BE185" s="505"/>
      <c r="BF185" s="505"/>
      <c r="BG185" s="505"/>
      <c r="BH185" s="505"/>
      <c r="BI185" s="505"/>
      <c r="BJ185" s="505"/>
      <c r="BK185" s="505"/>
      <c r="BL185" s="505"/>
      <c r="BM185" s="505"/>
    </row>
    <row r="186" spans="1:65" ht="9.9499999999999993" customHeight="1">
      <c r="A186" s="505"/>
      <c r="B186" s="505"/>
      <c r="C186" s="505"/>
      <c r="D186" s="505"/>
      <c r="E186" s="505"/>
      <c r="F186" s="505"/>
      <c r="G186" s="505"/>
      <c r="H186" s="505"/>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row>
    <row r="187" spans="1:65" ht="9.9499999999999993" customHeight="1">
      <c r="A187" s="505"/>
      <c r="B187" s="505"/>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5"/>
      <c r="Z187" s="505"/>
      <c r="AA187" s="505"/>
      <c r="AB187" s="505"/>
      <c r="AC187" s="505"/>
      <c r="AD187" s="505"/>
      <c r="AE187" s="505"/>
      <c r="AF187" s="505"/>
      <c r="AG187" s="505"/>
      <c r="AH187" s="505"/>
      <c r="AI187" s="505"/>
      <c r="AJ187" s="505"/>
      <c r="AK187" s="505"/>
      <c r="AL187" s="505"/>
      <c r="AM187" s="505"/>
      <c r="AN187" s="505"/>
      <c r="AO187" s="505"/>
      <c r="AP187" s="505"/>
      <c r="AQ187" s="505"/>
      <c r="AR187" s="505"/>
      <c r="AS187" s="505"/>
      <c r="AT187" s="505"/>
      <c r="AU187" s="505"/>
      <c r="AV187" s="505"/>
      <c r="AW187" s="505"/>
      <c r="AX187" s="505"/>
      <c r="AY187" s="505"/>
      <c r="AZ187" s="505"/>
      <c r="BA187" s="505"/>
      <c r="BB187" s="505"/>
      <c r="BC187" s="505"/>
      <c r="BD187" s="505"/>
      <c r="BE187" s="505"/>
      <c r="BF187" s="505"/>
      <c r="BG187" s="505"/>
      <c r="BH187" s="505"/>
      <c r="BI187" s="505"/>
      <c r="BJ187" s="505"/>
      <c r="BK187" s="505"/>
      <c r="BL187" s="505"/>
      <c r="BM187" s="505"/>
    </row>
    <row r="188" spans="1:65" ht="9.9499999999999993" customHeight="1">
      <c r="A188" s="505"/>
      <c r="B188" s="505"/>
      <c r="C188" s="505"/>
      <c r="D188" s="505"/>
      <c r="E188" s="505"/>
      <c r="F188" s="505"/>
      <c r="G188" s="505"/>
      <c r="H188" s="505"/>
      <c r="I188" s="505"/>
      <c r="J188" s="505"/>
      <c r="K188" s="505"/>
      <c r="L188" s="505"/>
      <c r="M188" s="505"/>
      <c r="N188" s="505"/>
      <c r="O188" s="505"/>
      <c r="P188" s="505"/>
      <c r="Q188" s="505"/>
      <c r="R188" s="505"/>
      <c r="S188" s="505"/>
      <c r="T188" s="505"/>
      <c r="U188" s="505"/>
      <c r="V188" s="505"/>
      <c r="W188" s="505"/>
      <c r="X188" s="505"/>
      <c r="Y188" s="505"/>
      <c r="Z188" s="505"/>
      <c r="AA188" s="505"/>
      <c r="AB188" s="505"/>
      <c r="AC188" s="505"/>
      <c r="AD188" s="505"/>
      <c r="AE188" s="505"/>
      <c r="AF188" s="505"/>
      <c r="AG188" s="505"/>
      <c r="AH188" s="505"/>
      <c r="AI188" s="505"/>
      <c r="AJ188" s="505"/>
      <c r="AK188" s="505"/>
      <c r="AL188" s="505"/>
      <c r="AM188" s="505"/>
      <c r="AN188" s="505"/>
      <c r="AO188" s="505"/>
      <c r="AP188" s="505"/>
      <c r="AQ188" s="505"/>
      <c r="AR188" s="505"/>
      <c r="AS188" s="505"/>
      <c r="AT188" s="505"/>
      <c r="AU188" s="505"/>
      <c r="AV188" s="505"/>
      <c r="AW188" s="505"/>
      <c r="AX188" s="505"/>
      <c r="AY188" s="505"/>
      <c r="AZ188" s="505"/>
      <c r="BA188" s="505"/>
      <c r="BB188" s="505"/>
      <c r="BC188" s="505"/>
      <c r="BD188" s="505"/>
      <c r="BE188" s="505"/>
      <c r="BF188" s="505"/>
      <c r="BG188" s="505"/>
      <c r="BH188" s="505"/>
      <c r="BI188" s="505"/>
      <c r="BJ188" s="505"/>
      <c r="BK188" s="505"/>
      <c r="BL188" s="505"/>
      <c r="BM188" s="505"/>
    </row>
    <row r="189" spans="1:65" ht="9.9499999999999993" customHeight="1">
      <c r="A189" s="505"/>
      <c r="B189" s="505"/>
      <c r="C189" s="505"/>
      <c r="D189" s="505"/>
      <c r="E189" s="505"/>
      <c r="F189" s="505"/>
      <c r="G189" s="505"/>
      <c r="H189" s="505"/>
      <c r="I189" s="505"/>
      <c r="J189" s="505"/>
      <c r="K189" s="505"/>
      <c r="L189" s="505"/>
      <c r="M189" s="505"/>
      <c r="N189" s="505"/>
      <c r="O189" s="505"/>
      <c r="P189" s="505"/>
      <c r="Q189" s="505"/>
      <c r="R189" s="505"/>
      <c r="S189" s="505"/>
      <c r="T189" s="505"/>
      <c r="U189" s="505"/>
      <c r="V189" s="505"/>
      <c r="W189" s="505"/>
      <c r="X189" s="505"/>
      <c r="Y189" s="505"/>
      <c r="Z189" s="505"/>
      <c r="AA189" s="505"/>
      <c r="AB189" s="505"/>
      <c r="AC189" s="505"/>
      <c r="AD189" s="505"/>
      <c r="AE189" s="505"/>
      <c r="AF189" s="505"/>
      <c r="AG189" s="505"/>
      <c r="AH189" s="505"/>
      <c r="AI189" s="505"/>
      <c r="AJ189" s="505"/>
      <c r="AK189" s="505"/>
      <c r="AL189" s="505"/>
      <c r="AM189" s="505"/>
      <c r="AN189" s="505"/>
      <c r="AO189" s="505"/>
      <c r="AP189" s="505"/>
      <c r="AQ189" s="505"/>
      <c r="AR189" s="505"/>
      <c r="AS189" s="505"/>
      <c r="AT189" s="505"/>
      <c r="AU189" s="505"/>
      <c r="AV189" s="505"/>
      <c r="AW189" s="505"/>
      <c r="AX189" s="505"/>
      <c r="AY189" s="505"/>
      <c r="AZ189" s="505"/>
      <c r="BA189" s="505"/>
      <c r="BB189" s="505"/>
      <c r="BC189" s="505"/>
      <c r="BD189" s="505"/>
      <c r="BE189" s="505"/>
      <c r="BF189" s="505"/>
      <c r="BG189" s="505"/>
      <c r="BH189" s="505"/>
      <c r="BI189" s="505"/>
      <c r="BJ189" s="505"/>
      <c r="BK189" s="505"/>
      <c r="BL189" s="505"/>
      <c r="BM189" s="505"/>
    </row>
    <row r="190" spans="1:65" ht="9.9499999999999993" customHeight="1">
      <c r="A190" s="505"/>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row>
    <row r="191" spans="1:65" ht="9.9499999999999993" customHeight="1">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505"/>
      <c r="AE191" s="505"/>
      <c r="AF191" s="505"/>
      <c r="AG191" s="505"/>
      <c r="AH191" s="505"/>
      <c r="AI191" s="505"/>
      <c r="AJ191" s="505"/>
      <c r="AK191" s="505"/>
      <c r="AL191" s="505"/>
      <c r="AM191" s="505"/>
      <c r="AN191" s="505"/>
      <c r="AO191" s="505"/>
      <c r="AP191" s="505"/>
      <c r="AQ191" s="505"/>
      <c r="AR191" s="505"/>
      <c r="AS191" s="505"/>
      <c r="AT191" s="505"/>
      <c r="AU191" s="505"/>
      <c r="AV191" s="505"/>
      <c r="AW191" s="505"/>
      <c r="AX191" s="505"/>
      <c r="AY191" s="505"/>
      <c r="AZ191" s="505"/>
      <c r="BA191" s="505"/>
      <c r="BB191" s="505"/>
      <c r="BC191" s="505"/>
      <c r="BD191" s="505"/>
      <c r="BE191" s="505"/>
      <c r="BF191" s="505"/>
      <c r="BG191" s="505"/>
      <c r="BH191" s="505"/>
      <c r="BI191" s="505"/>
      <c r="BJ191" s="505"/>
      <c r="BK191" s="505"/>
      <c r="BL191" s="505"/>
      <c r="BM191" s="505"/>
    </row>
    <row r="192" spans="1:65" ht="9.9499999999999993" customHeight="1">
      <c r="A192" s="505"/>
      <c r="B192" s="505"/>
      <c r="C192" s="505"/>
      <c r="D192" s="505"/>
      <c r="E192" s="505"/>
      <c r="F192" s="505"/>
      <c r="G192" s="505"/>
      <c r="H192" s="505"/>
      <c r="I192" s="505"/>
      <c r="J192" s="505"/>
      <c r="K192" s="505"/>
      <c r="L192" s="505"/>
      <c r="M192" s="505"/>
      <c r="N192" s="505"/>
      <c r="O192" s="505"/>
      <c r="P192" s="505"/>
      <c r="Q192" s="505"/>
      <c r="R192" s="505"/>
      <c r="S192" s="505"/>
      <c r="T192" s="505"/>
      <c r="U192" s="505"/>
      <c r="V192" s="505"/>
      <c r="W192" s="505"/>
      <c r="X192" s="505"/>
      <c r="Y192" s="505"/>
      <c r="Z192" s="505"/>
      <c r="AA192" s="505"/>
      <c r="AB192" s="505"/>
      <c r="AC192" s="505"/>
      <c r="AD192" s="505"/>
      <c r="AE192" s="505"/>
      <c r="AF192" s="505"/>
      <c r="AG192" s="505"/>
      <c r="AH192" s="505"/>
      <c r="AI192" s="505"/>
      <c r="AJ192" s="505"/>
      <c r="AK192" s="505"/>
      <c r="AL192" s="505"/>
      <c r="AM192" s="505"/>
      <c r="AN192" s="505"/>
      <c r="AO192" s="505"/>
      <c r="AP192" s="505"/>
      <c r="AQ192" s="505"/>
      <c r="AR192" s="505"/>
      <c r="AS192" s="505"/>
      <c r="AT192" s="505"/>
      <c r="AU192" s="505"/>
      <c r="AV192" s="505"/>
      <c r="AW192" s="505"/>
      <c r="AX192" s="505"/>
      <c r="AY192" s="505"/>
      <c r="AZ192" s="505"/>
      <c r="BA192" s="505"/>
      <c r="BB192" s="505"/>
      <c r="BC192" s="505"/>
      <c r="BD192" s="505"/>
      <c r="BE192" s="505"/>
      <c r="BF192" s="505"/>
      <c r="BG192" s="505"/>
      <c r="BH192" s="505"/>
      <c r="BI192" s="505"/>
      <c r="BJ192" s="505"/>
      <c r="BK192" s="505"/>
      <c r="BL192" s="505"/>
      <c r="BM192" s="505"/>
    </row>
    <row r="193" spans="1:65" ht="9.9499999999999993" customHeight="1">
      <c r="A193" s="505"/>
      <c r="B193" s="505"/>
      <c r="C193" s="505"/>
      <c r="D193" s="505"/>
      <c r="E193" s="505"/>
      <c r="F193" s="505"/>
      <c r="G193" s="505"/>
      <c r="H193" s="505"/>
      <c r="I193" s="505"/>
      <c r="J193" s="505"/>
      <c r="K193" s="505"/>
      <c r="L193" s="505"/>
      <c r="M193" s="505"/>
      <c r="N193" s="505"/>
      <c r="O193" s="505"/>
      <c r="P193" s="505"/>
      <c r="Q193" s="505"/>
      <c r="R193" s="505"/>
      <c r="S193" s="505"/>
      <c r="T193" s="505"/>
      <c r="U193" s="505"/>
      <c r="V193" s="505"/>
      <c r="W193" s="505"/>
      <c r="X193" s="505"/>
      <c r="Y193" s="505"/>
      <c r="Z193" s="505"/>
      <c r="AA193" s="505"/>
      <c r="AB193" s="505"/>
      <c r="AC193" s="505"/>
      <c r="AD193" s="505"/>
      <c r="AE193" s="505"/>
      <c r="AF193" s="505"/>
      <c r="AG193" s="505"/>
      <c r="AH193" s="505"/>
      <c r="AI193" s="505"/>
      <c r="AJ193" s="505"/>
      <c r="AK193" s="505"/>
      <c r="AL193" s="505"/>
      <c r="AM193" s="505"/>
      <c r="AN193" s="505"/>
      <c r="AO193" s="505"/>
      <c r="AP193" s="505"/>
      <c r="AQ193" s="505"/>
      <c r="AR193" s="505"/>
      <c r="AS193" s="505"/>
      <c r="AT193" s="505"/>
      <c r="AU193" s="505"/>
      <c r="AV193" s="505"/>
      <c r="AW193" s="505"/>
      <c r="AX193" s="505"/>
      <c r="AY193" s="505"/>
      <c r="AZ193" s="505"/>
      <c r="BA193" s="505"/>
      <c r="BB193" s="505"/>
      <c r="BC193" s="505"/>
      <c r="BD193" s="505"/>
      <c r="BE193" s="505"/>
      <c r="BF193" s="505"/>
      <c r="BG193" s="505"/>
      <c r="BH193" s="505"/>
      <c r="BI193" s="505"/>
      <c r="BJ193" s="505"/>
      <c r="BK193" s="505"/>
      <c r="BL193" s="505"/>
      <c r="BM193" s="505"/>
    </row>
    <row r="194" spans="1:65" ht="9.9499999999999993" customHeight="1">
      <c r="A194" s="505"/>
      <c r="B194" s="505"/>
      <c r="C194" s="505"/>
      <c r="D194" s="505"/>
      <c r="E194" s="505"/>
      <c r="F194" s="505"/>
      <c r="G194" s="505"/>
      <c r="H194" s="505"/>
      <c r="I194" s="505"/>
      <c r="J194" s="505"/>
      <c r="K194" s="505"/>
      <c r="L194" s="505"/>
      <c r="M194" s="505"/>
      <c r="N194" s="505"/>
      <c r="O194" s="505"/>
      <c r="P194" s="505"/>
      <c r="Q194" s="505"/>
      <c r="R194" s="505"/>
      <c r="S194" s="505"/>
      <c r="T194" s="505"/>
      <c r="U194" s="505"/>
      <c r="V194" s="505"/>
      <c r="W194" s="505"/>
      <c r="X194" s="505"/>
      <c r="Y194" s="505"/>
      <c r="Z194" s="505"/>
      <c r="AA194" s="505"/>
      <c r="AB194" s="505"/>
      <c r="AC194" s="505"/>
      <c r="AD194" s="505"/>
      <c r="AE194" s="505"/>
      <c r="AF194" s="505"/>
      <c r="AG194" s="505"/>
      <c r="AH194" s="505"/>
      <c r="AI194" s="505"/>
      <c r="AJ194" s="505"/>
      <c r="AK194" s="505"/>
      <c r="AL194" s="505"/>
      <c r="AM194" s="505"/>
      <c r="AN194" s="505"/>
      <c r="AO194" s="505"/>
      <c r="AP194" s="505"/>
      <c r="AQ194" s="505"/>
      <c r="AR194" s="505"/>
      <c r="AS194" s="505"/>
      <c r="AT194" s="505"/>
      <c r="AU194" s="505"/>
      <c r="AV194" s="505"/>
      <c r="AW194" s="505"/>
      <c r="AX194" s="505"/>
      <c r="AY194" s="505"/>
      <c r="AZ194" s="505"/>
      <c r="BA194" s="505"/>
      <c r="BB194" s="505"/>
      <c r="BC194" s="505"/>
      <c r="BD194" s="505"/>
      <c r="BE194" s="505"/>
      <c r="BF194" s="505"/>
      <c r="BG194" s="505"/>
      <c r="BH194" s="505"/>
      <c r="BI194" s="505"/>
      <c r="BJ194" s="505"/>
      <c r="BK194" s="505"/>
      <c r="BL194" s="505"/>
      <c r="BM194" s="505"/>
    </row>
    <row r="195" spans="1:65" ht="9.9499999999999993" customHeight="1">
      <c r="A195" s="505"/>
      <c r="B195" s="505"/>
      <c r="C195" s="505"/>
      <c r="D195" s="505"/>
      <c r="E195" s="505"/>
      <c r="F195" s="505"/>
      <c r="G195" s="505"/>
      <c r="H195" s="505"/>
      <c r="I195" s="505"/>
      <c r="J195" s="505"/>
      <c r="K195" s="505"/>
      <c r="L195" s="505"/>
      <c r="M195" s="505"/>
      <c r="N195" s="505"/>
      <c r="O195" s="505"/>
      <c r="P195" s="505"/>
      <c r="Q195" s="505"/>
      <c r="R195" s="505"/>
      <c r="S195" s="505"/>
      <c r="T195" s="505"/>
      <c r="U195" s="505"/>
      <c r="V195" s="505"/>
      <c r="W195" s="505"/>
      <c r="X195" s="505"/>
      <c r="Y195" s="505"/>
      <c r="Z195" s="505"/>
      <c r="AA195" s="505"/>
      <c r="AB195" s="505"/>
      <c r="AC195" s="505"/>
      <c r="AD195" s="505"/>
      <c r="AE195" s="505"/>
      <c r="AF195" s="505"/>
      <c r="AG195" s="505"/>
      <c r="AH195" s="505"/>
      <c r="AI195" s="505"/>
      <c r="AJ195" s="505"/>
      <c r="AK195" s="505"/>
      <c r="AL195" s="505"/>
      <c r="AM195" s="505"/>
      <c r="AN195" s="505"/>
      <c r="AO195" s="505"/>
      <c r="AP195" s="505"/>
      <c r="AQ195" s="505"/>
      <c r="AR195" s="505"/>
      <c r="AS195" s="505"/>
      <c r="AT195" s="505"/>
      <c r="AU195" s="505"/>
      <c r="AV195" s="505"/>
      <c r="AW195" s="505"/>
      <c r="AX195" s="505"/>
      <c r="AY195" s="505"/>
      <c r="AZ195" s="505"/>
      <c r="BA195" s="505"/>
      <c r="BB195" s="505"/>
      <c r="BC195" s="505"/>
      <c r="BD195" s="505"/>
      <c r="BE195" s="505"/>
      <c r="BF195" s="505"/>
      <c r="BG195" s="505"/>
      <c r="BH195" s="505"/>
      <c r="BI195" s="505"/>
      <c r="BJ195" s="505"/>
      <c r="BK195" s="505"/>
      <c r="BL195" s="505"/>
      <c r="BM195" s="505"/>
    </row>
    <row r="196" spans="1:65" ht="9.9499999999999993" customHeight="1">
      <c r="A196" s="505"/>
      <c r="B196" s="505"/>
      <c r="C196" s="505"/>
      <c r="D196" s="505"/>
      <c r="E196" s="505"/>
      <c r="F196" s="505"/>
      <c r="G196" s="505"/>
      <c r="H196" s="505"/>
      <c r="I196" s="505"/>
      <c r="J196" s="505"/>
      <c r="K196" s="505"/>
      <c r="L196" s="505"/>
      <c r="M196" s="505"/>
      <c r="N196" s="505"/>
      <c r="O196" s="505"/>
      <c r="P196" s="505"/>
      <c r="Q196" s="505"/>
      <c r="R196" s="505"/>
      <c r="S196" s="505"/>
      <c r="T196" s="505"/>
      <c r="U196" s="505"/>
      <c r="V196" s="505"/>
      <c r="W196" s="505"/>
      <c r="X196" s="505"/>
      <c r="Y196" s="505"/>
      <c r="Z196" s="505"/>
      <c r="AA196" s="505"/>
      <c r="AB196" s="505"/>
      <c r="AC196" s="505"/>
      <c r="AD196" s="505"/>
      <c r="AE196" s="505"/>
      <c r="AF196" s="505"/>
      <c r="AG196" s="505"/>
      <c r="AH196" s="505"/>
      <c r="AI196" s="505"/>
      <c r="AJ196" s="505"/>
      <c r="AK196" s="505"/>
      <c r="AL196" s="505"/>
      <c r="AM196" s="505"/>
      <c r="AN196" s="505"/>
      <c r="AO196" s="505"/>
      <c r="AP196" s="505"/>
      <c r="AQ196" s="505"/>
      <c r="AR196" s="505"/>
      <c r="AS196" s="505"/>
      <c r="AT196" s="505"/>
      <c r="AU196" s="505"/>
      <c r="AV196" s="505"/>
      <c r="AW196" s="505"/>
      <c r="AX196" s="505"/>
      <c r="AY196" s="505"/>
      <c r="AZ196" s="505"/>
      <c r="BA196" s="505"/>
      <c r="BB196" s="505"/>
      <c r="BC196" s="505"/>
      <c r="BD196" s="505"/>
      <c r="BE196" s="505"/>
      <c r="BF196" s="505"/>
      <c r="BG196" s="505"/>
      <c r="BH196" s="505"/>
      <c r="BI196" s="505"/>
      <c r="BJ196" s="505"/>
      <c r="BK196" s="505"/>
      <c r="BL196" s="505"/>
      <c r="BM196" s="505"/>
    </row>
    <row r="197" spans="1:65" ht="9.9499999999999993" customHeight="1">
      <c r="A197" s="505"/>
      <c r="B197" s="505"/>
      <c r="C197" s="505"/>
      <c r="D197" s="505"/>
      <c r="E197" s="505"/>
      <c r="F197" s="505"/>
      <c r="G197" s="505"/>
      <c r="H197" s="505"/>
      <c r="I197" s="505"/>
      <c r="J197" s="505"/>
      <c r="K197" s="505"/>
      <c r="L197" s="505"/>
      <c r="M197" s="505"/>
      <c r="N197" s="505"/>
      <c r="O197" s="505"/>
      <c r="P197" s="505"/>
      <c r="Q197" s="505"/>
      <c r="R197" s="505"/>
      <c r="S197" s="505"/>
      <c r="T197" s="505"/>
      <c r="U197" s="505"/>
      <c r="V197" s="505"/>
      <c r="W197" s="505"/>
      <c r="X197" s="505"/>
      <c r="Y197" s="505"/>
      <c r="Z197" s="505"/>
      <c r="AA197" s="505"/>
      <c r="AB197" s="505"/>
      <c r="AC197" s="505"/>
      <c r="AD197" s="505"/>
      <c r="AE197" s="505"/>
      <c r="AF197" s="505"/>
      <c r="AG197" s="505"/>
      <c r="AH197" s="505"/>
      <c r="AI197" s="505"/>
      <c r="AJ197" s="505"/>
      <c r="AK197" s="505"/>
      <c r="AL197" s="505"/>
      <c r="AM197" s="505"/>
      <c r="AN197" s="505"/>
      <c r="AO197" s="505"/>
      <c r="AP197" s="505"/>
      <c r="AQ197" s="505"/>
      <c r="AR197" s="505"/>
      <c r="AS197" s="505"/>
      <c r="AT197" s="505"/>
      <c r="AU197" s="505"/>
      <c r="AV197" s="505"/>
      <c r="AW197" s="505"/>
      <c r="AX197" s="505"/>
      <c r="AY197" s="505"/>
      <c r="AZ197" s="505"/>
      <c r="BA197" s="505"/>
      <c r="BB197" s="505"/>
      <c r="BC197" s="505"/>
      <c r="BD197" s="505"/>
      <c r="BE197" s="505"/>
      <c r="BF197" s="505"/>
      <c r="BG197" s="505"/>
      <c r="BH197" s="505"/>
      <c r="BI197" s="505"/>
      <c r="BJ197" s="505"/>
      <c r="BK197" s="505"/>
      <c r="BL197" s="505"/>
      <c r="BM197" s="505"/>
    </row>
    <row r="198" spans="1:65" ht="9.9499999999999993" customHeight="1">
      <c r="A198" s="505"/>
      <c r="B198" s="505"/>
      <c r="C198" s="505"/>
      <c r="D198" s="505"/>
      <c r="E198" s="505"/>
      <c r="F198" s="505"/>
      <c r="G198" s="505"/>
      <c r="H198" s="505"/>
      <c r="I198" s="505"/>
      <c r="J198" s="505"/>
      <c r="K198" s="505"/>
      <c r="L198" s="505"/>
      <c r="M198" s="505"/>
      <c r="N198" s="505"/>
      <c r="O198" s="505"/>
      <c r="P198" s="505"/>
      <c r="Q198" s="505"/>
      <c r="R198" s="505"/>
      <c r="S198" s="505"/>
      <c r="T198" s="505"/>
      <c r="U198" s="505"/>
      <c r="V198" s="505"/>
      <c r="W198" s="505"/>
      <c r="X198" s="505"/>
      <c r="Y198" s="505"/>
      <c r="Z198" s="505"/>
      <c r="AA198" s="505"/>
      <c r="AB198" s="505"/>
      <c r="AC198" s="505"/>
      <c r="AD198" s="505"/>
      <c r="AE198" s="505"/>
      <c r="AF198" s="505"/>
      <c r="AG198" s="505"/>
      <c r="AH198" s="505"/>
      <c r="AI198" s="505"/>
      <c r="AJ198" s="505"/>
      <c r="AK198" s="505"/>
      <c r="AL198" s="505"/>
      <c r="AM198" s="505"/>
      <c r="AN198" s="505"/>
      <c r="AO198" s="505"/>
      <c r="AP198" s="505"/>
      <c r="AQ198" s="505"/>
      <c r="AR198" s="505"/>
      <c r="AS198" s="505"/>
      <c r="AT198" s="505"/>
      <c r="AU198" s="505"/>
      <c r="AV198" s="505"/>
      <c r="AW198" s="505"/>
      <c r="AX198" s="505"/>
      <c r="AY198" s="505"/>
      <c r="AZ198" s="505"/>
      <c r="BA198" s="505"/>
      <c r="BB198" s="505"/>
      <c r="BC198" s="505"/>
      <c r="BD198" s="505"/>
      <c r="BE198" s="505"/>
      <c r="BF198" s="505"/>
      <c r="BG198" s="505"/>
      <c r="BH198" s="505"/>
      <c r="BI198" s="505"/>
      <c r="BJ198" s="505"/>
      <c r="BK198" s="505"/>
      <c r="BL198" s="505"/>
      <c r="BM198" s="505"/>
    </row>
    <row r="199" spans="1:65" ht="9.9499999999999993" customHeight="1">
      <c r="A199" s="505"/>
      <c r="B199" s="505"/>
      <c r="C199" s="505"/>
      <c r="D199" s="505"/>
      <c r="E199" s="505"/>
      <c r="F199" s="505"/>
      <c r="G199" s="505"/>
      <c r="H199" s="505"/>
      <c r="I199" s="505"/>
      <c r="J199" s="505"/>
      <c r="K199" s="505"/>
      <c r="L199" s="505"/>
      <c r="M199" s="505"/>
      <c r="N199" s="505"/>
      <c r="O199" s="505"/>
      <c r="P199" s="505"/>
      <c r="Q199" s="505"/>
      <c r="R199" s="505"/>
      <c r="S199" s="505"/>
      <c r="T199" s="505"/>
      <c r="U199" s="505"/>
      <c r="V199" s="505"/>
      <c r="W199" s="505"/>
      <c r="X199" s="505"/>
      <c r="Y199" s="505"/>
      <c r="Z199" s="505"/>
      <c r="AA199" s="505"/>
      <c r="AB199" s="505"/>
      <c r="AC199" s="505"/>
      <c r="AD199" s="505"/>
      <c r="AE199" s="505"/>
      <c r="AF199" s="505"/>
      <c r="AG199" s="505"/>
      <c r="AH199" s="505"/>
      <c r="AI199" s="505"/>
      <c r="AJ199" s="505"/>
      <c r="AK199" s="505"/>
      <c r="AL199" s="505"/>
      <c r="AM199" s="505"/>
      <c r="AN199" s="505"/>
      <c r="AO199" s="505"/>
      <c r="AP199" s="505"/>
      <c r="AQ199" s="505"/>
      <c r="AR199" s="505"/>
      <c r="AS199" s="505"/>
      <c r="AT199" s="505"/>
      <c r="AU199" s="505"/>
      <c r="AV199" s="505"/>
      <c r="AW199" s="505"/>
      <c r="AX199" s="505"/>
      <c r="AY199" s="505"/>
      <c r="AZ199" s="505"/>
      <c r="BA199" s="505"/>
      <c r="BB199" s="505"/>
      <c r="BC199" s="505"/>
      <c r="BD199" s="505"/>
      <c r="BE199" s="505"/>
      <c r="BF199" s="505"/>
      <c r="BG199" s="505"/>
      <c r="BH199" s="505"/>
      <c r="BI199" s="505"/>
      <c r="BJ199" s="505"/>
      <c r="BK199" s="505"/>
      <c r="BL199" s="505"/>
      <c r="BM199" s="505"/>
    </row>
    <row r="200" spans="1:65" ht="9.9499999999999993" customHeight="1">
      <c r="A200" s="505"/>
      <c r="B200" s="505"/>
      <c r="C200" s="505"/>
      <c r="D200" s="505"/>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505"/>
      <c r="AE200" s="505"/>
      <c r="AF200" s="505"/>
      <c r="AG200" s="505"/>
      <c r="AH200" s="505"/>
      <c r="AI200" s="505"/>
      <c r="AJ200" s="505"/>
      <c r="AK200" s="505"/>
      <c r="AL200" s="505"/>
      <c r="AM200" s="505"/>
      <c r="AN200" s="505"/>
      <c r="AO200" s="505"/>
      <c r="AP200" s="505"/>
      <c r="AQ200" s="505"/>
      <c r="AR200" s="505"/>
      <c r="AS200" s="505"/>
      <c r="AT200" s="505"/>
      <c r="AU200" s="505"/>
      <c r="AV200" s="505"/>
      <c r="AW200" s="505"/>
      <c r="AX200" s="505"/>
      <c r="AY200" s="505"/>
      <c r="AZ200" s="505"/>
      <c r="BA200" s="505"/>
      <c r="BB200" s="505"/>
      <c r="BC200" s="505"/>
      <c r="BD200" s="505"/>
      <c r="BE200" s="505"/>
      <c r="BF200" s="505"/>
      <c r="BG200" s="505"/>
      <c r="BH200" s="505"/>
      <c r="BI200" s="505"/>
      <c r="BJ200" s="505"/>
      <c r="BK200" s="505"/>
      <c r="BL200" s="505"/>
      <c r="BM200" s="505"/>
    </row>
    <row r="201" spans="1:65" ht="9.9499999999999993" customHeight="1">
      <c r="A201" s="505"/>
      <c r="B201" s="505"/>
      <c r="C201" s="505"/>
      <c r="D201" s="505"/>
      <c r="E201" s="505"/>
      <c r="F201" s="505"/>
      <c r="G201" s="505"/>
      <c r="H201" s="505"/>
      <c r="I201" s="505"/>
      <c r="J201" s="505"/>
      <c r="K201" s="505"/>
      <c r="L201" s="505"/>
      <c r="M201" s="505"/>
      <c r="N201" s="505"/>
      <c r="O201" s="505"/>
      <c r="P201" s="505"/>
      <c r="Q201" s="505"/>
      <c r="R201" s="505"/>
      <c r="S201" s="505"/>
      <c r="T201" s="505"/>
      <c r="U201" s="505"/>
      <c r="V201" s="505"/>
      <c r="W201" s="505"/>
      <c r="X201" s="505"/>
      <c r="Y201" s="505"/>
      <c r="Z201" s="505"/>
      <c r="AA201" s="505"/>
      <c r="AB201" s="505"/>
      <c r="AC201" s="505"/>
      <c r="AD201" s="505"/>
      <c r="AE201" s="505"/>
      <c r="AF201" s="505"/>
      <c r="AG201" s="505"/>
      <c r="AH201" s="505"/>
      <c r="AI201" s="505"/>
      <c r="AJ201" s="505"/>
      <c r="AK201" s="505"/>
      <c r="AL201" s="505"/>
      <c r="AM201" s="505"/>
      <c r="AN201" s="505"/>
      <c r="AO201" s="505"/>
      <c r="AP201" s="505"/>
      <c r="AQ201" s="505"/>
      <c r="AR201" s="505"/>
      <c r="AS201" s="505"/>
      <c r="AT201" s="505"/>
      <c r="AU201" s="505"/>
      <c r="AV201" s="505"/>
      <c r="AW201" s="505"/>
      <c r="AX201" s="505"/>
      <c r="AY201" s="505"/>
      <c r="AZ201" s="505"/>
      <c r="BA201" s="505"/>
      <c r="BB201" s="505"/>
      <c r="BC201" s="505"/>
      <c r="BD201" s="505"/>
      <c r="BE201" s="505"/>
      <c r="BF201" s="505"/>
      <c r="BG201" s="505"/>
      <c r="BH201" s="505"/>
      <c r="BI201" s="505"/>
      <c r="BJ201" s="505"/>
      <c r="BK201" s="505"/>
      <c r="BL201" s="505"/>
      <c r="BM201" s="505"/>
    </row>
    <row r="202" spans="1:65" ht="9.9499999999999993" customHeight="1">
      <c r="A202" s="505"/>
      <c r="B202" s="505"/>
      <c r="C202" s="505"/>
      <c r="D202" s="505"/>
      <c r="E202" s="505"/>
      <c r="F202" s="505"/>
      <c r="G202" s="505"/>
      <c r="H202" s="505"/>
      <c r="I202" s="505"/>
      <c r="J202" s="505"/>
      <c r="K202" s="505"/>
      <c r="L202" s="505"/>
      <c r="M202" s="505"/>
      <c r="N202" s="505"/>
      <c r="O202" s="505"/>
      <c r="P202" s="505"/>
      <c r="Q202" s="505"/>
      <c r="R202" s="505"/>
      <c r="S202" s="505"/>
      <c r="T202" s="505"/>
      <c r="U202" s="505"/>
      <c r="V202" s="505"/>
      <c r="W202" s="505"/>
      <c r="X202" s="505"/>
      <c r="Y202" s="505"/>
      <c r="Z202" s="505"/>
      <c r="AA202" s="505"/>
      <c r="AB202" s="505"/>
      <c r="AC202" s="505"/>
      <c r="AD202" s="505"/>
      <c r="AE202" s="505"/>
      <c r="AF202" s="505"/>
      <c r="AG202" s="505"/>
      <c r="AH202" s="505"/>
      <c r="AI202" s="505"/>
      <c r="AJ202" s="505"/>
      <c r="AK202" s="505"/>
      <c r="AL202" s="505"/>
      <c r="AM202" s="505"/>
      <c r="AN202" s="505"/>
      <c r="AO202" s="505"/>
      <c r="AP202" s="505"/>
      <c r="AQ202" s="505"/>
      <c r="AR202" s="505"/>
      <c r="AS202" s="505"/>
      <c r="AT202" s="505"/>
      <c r="AU202" s="505"/>
      <c r="AV202" s="505"/>
      <c r="AW202" s="505"/>
      <c r="AX202" s="505"/>
      <c r="AY202" s="505"/>
      <c r="AZ202" s="505"/>
      <c r="BA202" s="505"/>
      <c r="BB202" s="505"/>
      <c r="BC202" s="505"/>
      <c r="BD202" s="505"/>
      <c r="BE202" s="505"/>
      <c r="BF202" s="505"/>
      <c r="BG202" s="505"/>
      <c r="BH202" s="505"/>
      <c r="BI202" s="505"/>
      <c r="BJ202" s="505"/>
      <c r="BK202" s="505"/>
      <c r="BL202" s="505"/>
      <c r="BM202" s="505"/>
    </row>
    <row r="203" spans="1:65" ht="9.9499999999999993" customHeight="1">
      <c r="A203" s="505"/>
      <c r="B203" s="505"/>
      <c r="C203" s="505"/>
      <c r="D203" s="505"/>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row>
    <row r="204" spans="1:65" ht="9.9499999999999993" customHeight="1">
      <c r="A204" s="505"/>
      <c r="B204" s="505"/>
      <c r="C204" s="505"/>
      <c r="D204" s="505"/>
      <c r="E204" s="505"/>
      <c r="F204" s="505"/>
      <c r="G204" s="505"/>
      <c r="H204" s="505"/>
      <c r="I204" s="505"/>
      <c r="J204" s="505"/>
      <c r="K204" s="505"/>
      <c r="L204" s="505"/>
      <c r="M204" s="505"/>
      <c r="N204" s="505"/>
      <c r="O204" s="505"/>
      <c r="P204" s="505"/>
      <c r="Q204" s="505"/>
      <c r="R204" s="505"/>
      <c r="S204" s="505"/>
      <c r="T204" s="505"/>
      <c r="U204" s="505"/>
      <c r="V204" s="505"/>
      <c r="W204" s="505"/>
      <c r="X204" s="505"/>
      <c r="Y204" s="505"/>
      <c r="Z204" s="505"/>
      <c r="AA204" s="505"/>
      <c r="AB204" s="505"/>
      <c r="AC204" s="505"/>
      <c r="AD204" s="505"/>
      <c r="AE204" s="505"/>
      <c r="AF204" s="505"/>
      <c r="AG204" s="505"/>
      <c r="AH204" s="505"/>
      <c r="AI204" s="505"/>
      <c r="AJ204" s="505"/>
      <c r="AK204" s="505"/>
      <c r="AL204" s="505"/>
      <c r="AM204" s="505"/>
      <c r="AN204" s="505"/>
      <c r="AO204" s="505"/>
      <c r="AP204" s="505"/>
      <c r="AQ204" s="505"/>
      <c r="AR204" s="505"/>
      <c r="AS204" s="505"/>
      <c r="AT204" s="505"/>
      <c r="AU204" s="505"/>
      <c r="AV204" s="505"/>
      <c r="AW204" s="505"/>
      <c r="AX204" s="505"/>
      <c r="AY204" s="505"/>
      <c r="AZ204" s="505"/>
      <c r="BA204" s="505"/>
      <c r="BB204" s="505"/>
      <c r="BC204" s="505"/>
      <c r="BD204" s="505"/>
      <c r="BE204" s="505"/>
      <c r="BF204" s="505"/>
      <c r="BG204" s="505"/>
      <c r="BH204" s="505"/>
      <c r="BI204" s="505"/>
      <c r="BJ204" s="505"/>
      <c r="BK204" s="505"/>
      <c r="BL204" s="505"/>
      <c r="BM204" s="505"/>
    </row>
    <row r="205" spans="1:65" ht="9.9499999999999993" customHeight="1">
      <c r="A205" s="505"/>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505"/>
      <c r="AE205" s="505"/>
      <c r="AF205" s="505"/>
      <c r="AG205" s="505"/>
      <c r="AH205" s="505"/>
      <c r="AI205" s="505"/>
      <c r="AJ205" s="505"/>
      <c r="AK205" s="505"/>
      <c r="AL205" s="505"/>
      <c r="AM205" s="505"/>
      <c r="AN205" s="505"/>
      <c r="AO205" s="505"/>
      <c r="AP205" s="505"/>
      <c r="AQ205" s="505"/>
      <c r="AR205" s="505"/>
      <c r="AS205" s="505"/>
      <c r="AT205" s="505"/>
      <c r="AU205" s="505"/>
      <c r="AV205" s="505"/>
      <c r="AW205" s="505"/>
      <c r="AX205" s="505"/>
      <c r="AY205" s="505"/>
      <c r="AZ205" s="505"/>
      <c r="BA205" s="505"/>
      <c r="BB205" s="505"/>
      <c r="BC205" s="505"/>
      <c r="BD205" s="505"/>
      <c r="BE205" s="505"/>
      <c r="BF205" s="505"/>
      <c r="BG205" s="505"/>
      <c r="BH205" s="505"/>
      <c r="BI205" s="505"/>
      <c r="BJ205" s="505"/>
      <c r="BK205" s="505"/>
      <c r="BL205" s="505"/>
      <c r="BM205" s="505"/>
    </row>
    <row r="206" spans="1:65" ht="9.9499999999999993" customHeight="1">
      <c r="A206" s="505"/>
      <c r="B206" s="505"/>
      <c r="C206" s="505"/>
      <c r="D206" s="505"/>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505"/>
      <c r="AE206" s="505"/>
      <c r="AF206" s="505"/>
      <c r="AG206" s="505"/>
      <c r="AH206" s="505"/>
      <c r="AI206" s="505"/>
      <c r="AJ206" s="505"/>
      <c r="AK206" s="505"/>
      <c r="AL206" s="505"/>
      <c r="AM206" s="505"/>
      <c r="AN206" s="505"/>
      <c r="AO206" s="505"/>
      <c r="AP206" s="505"/>
      <c r="AQ206" s="505"/>
      <c r="AR206" s="505"/>
      <c r="AS206" s="505"/>
      <c r="AT206" s="505"/>
      <c r="AU206" s="505"/>
      <c r="AV206" s="505"/>
      <c r="AW206" s="505"/>
      <c r="AX206" s="505"/>
      <c r="AY206" s="505"/>
      <c r="AZ206" s="505"/>
      <c r="BA206" s="505"/>
      <c r="BB206" s="505"/>
      <c r="BC206" s="505"/>
      <c r="BD206" s="505"/>
      <c r="BE206" s="505"/>
      <c r="BF206" s="505"/>
      <c r="BG206" s="505"/>
      <c r="BH206" s="505"/>
      <c r="BI206" s="505"/>
      <c r="BJ206" s="505"/>
      <c r="BK206" s="505"/>
      <c r="BL206" s="505"/>
      <c r="BM206" s="505"/>
    </row>
    <row r="207" spans="1:65" ht="9.9499999999999993" customHeight="1">
      <c r="A207" s="505"/>
      <c r="B207" s="505"/>
      <c r="C207" s="505"/>
      <c r="D207" s="505"/>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505"/>
      <c r="AE207" s="505"/>
      <c r="AF207" s="505"/>
      <c r="AG207" s="505"/>
      <c r="AH207" s="505"/>
      <c r="AI207" s="505"/>
      <c r="AJ207" s="505"/>
      <c r="AK207" s="505"/>
      <c r="AL207" s="505"/>
      <c r="AM207" s="505"/>
      <c r="AN207" s="505"/>
      <c r="AO207" s="505"/>
      <c r="AP207" s="505"/>
      <c r="AQ207" s="505"/>
      <c r="AR207" s="505"/>
      <c r="AS207" s="505"/>
      <c r="AT207" s="505"/>
      <c r="AU207" s="505"/>
      <c r="AV207" s="505"/>
      <c r="AW207" s="505"/>
      <c r="AX207" s="505"/>
      <c r="AY207" s="505"/>
      <c r="AZ207" s="505"/>
      <c r="BA207" s="505"/>
      <c r="BB207" s="505"/>
      <c r="BC207" s="505"/>
      <c r="BD207" s="505"/>
      <c r="BE207" s="505"/>
      <c r="BF207" s="505"/>
      <c r="BG207" s="505"/>
      <c r="BH207" s="505"/>
      <c r="BI207" s="505"/>
      <c r="BJ207" s="505"/>
      <c r="BK207" s="505"/>
      <c r="BL207" s="505"/>
      <c r="BM207" s="505"/>
    </row>
    <row r="208" spans="1:65" ht="9.9499999999999993" customHeight="1">
      <c r="A208" s="505"/>
      <c r="B208" s="505"/>
      <c r="C208" s="505"/>
      <c r="D208" s="505"/>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505"/>
      <c r="AE208" s="505"/>
      <c r="AF208" s="505"/>
      <c r="AG208" s="505"/>
      <c r="AH208" s="505"/>
      <c r="AI208" s="505"/>
      <c r="AJ208" s="505"/>
      <c r="AK208" s="505"/>
      <c r="AL208" s="505"/>
      <c r="AM208" s="505"/>
      <c r="AN208" s="505"/>
      <c r="AO208" s="505"/>
      <c r="AP208" s="505"/>
      <c r="AQ208" s="505"/>
      <c r="AR208" s="505"/>
      <c r="AS208" s="505"/>
      <c r="AT208" s="505"/>
      <c r="AU208" s="505"/>
      <c r="AV208" s="505"/>
      <c r="AW208" s="505"/>
      <c r="AX208" s="505"/>
      <c r="AY208" s="505"/>
      <c r="AZ208" s="505"/>
      <c r="BA208" s="505"/>
      <c r="BB208" s="505"/>
      <c r="BC208" s="505"/>
      <c r="BD208" s="505"/>
      <c r="BE208" s="505"/>
      <c r="BF208" s="505"/>
      <c r="BG208" s="505"/>
      <c r="BH208" s="505"/>
      <c r="BI208" s="505"/>
      <c r="BJ208" s="505"/>
      <c r="BK208" s="505"/>
      <c r="BL208" s="505"/>
      <c r="BM208" s="505"/>
    </row>
    <row r="209" spans="1:65" ht="9.9499999999999993" customHeight="1">
      <c r="A209" s="505"/>
      <c r="B209" s="505"/>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c r="AG209" s="505"/>
      <c r="AH209" s="505"/>
      <c r="AI209" s="505"/>
      <c r="AJ209" s="505"/>
      <c r="AK209" s="505"/>
      <c r="AL209" s="505"/>
      <c r="AM209" s="505"/>
      <c r="AN209" s="505"/>
      <c r="AO209" s="505"/>
      <c r="AP209" s="505"/>
      <c r="AQ209" s="505"/>
      <c r="AR209" s="505"/>
      <c r="AS209" s="505"/>
      <c r="AT209" s="505"/>
      <c r="AU209" s="505"/>
      <c r="AV209" s="505"/>
      <c r="AW209" s="505"/>
      <c r="AX209" s="505"/>
      <c r="AY209" s="505"/>
      <c r="AZ209" s="505"/>
      <c r="BA209" s="505"/>
      <c r="BB209" s="505"/>
      <c r="BC209" s="505"/>
      <c r="BD209" s="505"/>
      <c r="BE209" s="505"/>
      <c r="BF209" s="505"/>
      <c r="BG209" s="505"/>
      <c r="BH209" s="505"/>
      <c r="BI209" s="505"/>
      <c r="BJ209" s="505"/>
      <c r="BK209" s="505"/>
      <c r="BL209" s="505"/>
      <c r="BM209" s="505"/>
    </row>
    <row r="210" spans="1:65" ht="9.9499999999999993" customHeight="1">
      <c r="A210" s="505"/>
      <c r="B210" s="505"/>
      <c r="C210" s="505"/>
      <c r="D210" s="505"/>
      <c r="E210" s="505"/>
      <c r="F210" s="505"/>
      <c r="G210" s="505"/>
      <c r="H210" s="505"/>
      <c r="I210" s="505"/>
      <c r="J210" s="505"/>
      <c r="K210" s="505"/>
      <c r="L210" s="505"/>
      <c r="M210" s="505"/>
      <c r="N210" s="505"/>
      <c r="O210" s="505"/>
      <c r="P210" s="505"/>
      <c r="Q210" s="505"/>
      <c r="R210" s="505"/>
      <c r="S210" s="505"/>
      <c r="T210" s="505"/>
      <c r="U210" s="505"/>
      <c r="V210" s="505"/>
      <c r="W210" s="505"/>
      <c r="X210" s="505"/>
      <c r="Y210" s="505"/>
      <c r="Z210" s="505"/>
      <c r="AA210" s="505"/>
      <c r="AB210" s="505"/>
      <c r="AC210" s="505"/>
      <c r="AD210" s="505"/>
      <c r="AE210" s="505"/>
      <c r="AF210" s="505"/>
      <c r="AG210" s="505"/>
      <c r="AH210" s="505"/>
      <c r="AI210" s="505"/>
      <c r="AJ210" s="505"/>
      <c r="AK210" s="505"/>
      <c r="AL210" s="505"/>
      <c r="AM210" s="505"/>
      <c r="AN210" s="505"/>
      <c r="AO210" s="505"/>
      <c r="AP210" s="505"/>
      <c r="AQ210" s="505"/>
      <c r="AR210" s="505"/>
      <c r="AS210" s="505"/>
      <c r="AT210" s="505"/>
      <c r="AU210" s="505"/>
      <c r="AV210" s="505"/>
      <c r="AW210" s="505"/>
      <c r="AX210" s="505"/>
      <c r="AY210" s="505"/>
      <c r="AZ210" s="505"/>
      <c r="BA210" s="505"/>
      <c r="BB210" s="505"/>
      <c r="BC210" s="505"/>
      <c r="BD210" s="505"/>
      <c r="BE210" s="505"/>
      <c r="BF210" s="505"/>
      <c r="BG210" s="505"/>
      <c r="BH210" s="505"/>
      <c r="BI210" s="505"/>
      <c r="BJ210" s="505"/>
      <c r="BK210" s="505"/>
      <c r="BL210" s="505"/>
      <c r="BM210" s="505"/>
    </row>
    <row r="211" spans="1:65" ht="9.9499999999999993" customHeight="1">
      <c r="A211" s="505"/>
      <c r="B211" s="505"/>
      <c r="C211" s="505"/>
      <c r="D211" s="505"/>
      <c r="E211" s="505"/>
      <c r="F211" s="505"/>
      <c r="G211" s="505"/>
      <c r="H211" s="505"/>
      <c r="I211" s="505"/>
      <c r="J211" s="505"/>
      <c r="K211" s="505"/>
      <c r="L211" s="505"/>
      <c r="M211" s="505"/>
      <c r="N211" s="505"/>
      <c r="O211" s="505"/>
      <c r="P211" s="505"/>
      <c r="Q211" s="505"/>
      <c r="R211" s="505"/>
      <c r="S211" s="505"/>
      <c r="T211" s="505"/>
      <c r="U211" s="505"/>
      <c r="V211" s="505"/>
      <c r="W211" s="505"/>
      <c r="X211" s="505"/>
      <c r="Y211" s="505"/>
      <c r="Z211" s="505"/>
      <c r="AA211" s="505"/>
      <c r="AB211" s="505"/>
      <c r="AC211" s="505"/>
      <c r="AD211" s="505"/>
      <c r="AE211" s="505"/>
      <c r="AF211" s="505"/>
      <c r="AG211" s="505"/>
      <c r="AH211" s="505"/>
      <c r="AI211" s="505"/>
      <c r="AJ211" s="505"/>
      <c r="AK211" s="505"/>
      <c r="AL211" s="505"/>
      <c r="AM211" s="505"/>
      <c r="AN211" s="505"/>
      <c r="AO211" s="505"/>
      <c r="AP211" s="505"/>
      <c r="AQ211" s="505"/>
      <c r="AR211" s="505"/>
      <c r="AS211" s="505"/>
      <c r="AT211" s="505"/>
      <c r="AU211" s="505"/>
      <c r="AV211" s="505"/>
      <c r="AW211" s="505"/>
      <c r="AX211" s="505"/>
      <c r="AY211" s="505"/>
      <c r="AZ211" s="505"/>
      <c r="BA211" s="505"/>
      <c r="BB211" s="505"/>
      <c r="BC211" s="505"/>
      <c r="BD211" s="505"/>
      <c r="BE211" s="505"/>
      <c r="BF211" s="505"/>
      <c r="BG211" s="505"/>
      <c r="BH211" s="505"/>
      <c r="BI211" s="505"/>
      <c r="BJ211" s="505"/>
      <c r="BK211" s="505"/>
      <c r="BL211" s="505"/>
      <c r="BM211" s="505"/>
    </row>
    <row r="212" spans="1:65" ht="9.9499999999999993" customHeight="1">
      <c r="A212" s="505"/>
      <c r="B212" s="505"/>
      <c r="C212" s="505"/>
      <c r="D212" s="505"/>
      <c r="E212" s="505"/>
      <c r="F212" s="505"/>
      <c r="G212" s="505"/>
      <c r="H212" s="505"/>
      <c r="I212" s="505"/>
      <c r="J212" s="505"/>
      <c r="K212" s="505"/>
      <c r="L212" s="505"/>
      <c r="M212" s="505"/>
      <c r="N212" s="505"/>
      <c r="O212" s="505"/>
      <c r="P212" s="505"/>
      <c r="Q212" s="505"/>
      <c r="R212" s="505"/>
      <c r="S212" s="505"/>
      <c r="T212" s="505"/>
      <c r="U212" s="505"/>
      <c r="V212" s="505"/>
      <c r="W212" s="505"/>
      <c r="X212" s="505"/>
      <c r="Y212" s="505"/>
      <c r="Z212" s="505"/>
      <c r="AA212" s="505"/>
      <c r="AB212" s="505"/>
      <c r="AC212" s="505"/>
      <c r="AD212" s="505"/>
      <c r="AE212" s="505"/>
      <c r="AF212" s="505"/>
      <c r="AG212" s="505"/>
      <c r="AH212" s="505"/>
      <c r="AI212" s="505"/>
      <c r="AJ212" s="505"/>
      <c r="AK212" s="505"/>
      <c r="AL212" s="505"/>
      <c r="AM212" s="505"/>
      <c r="AN212" s="505"/>
      <c r="AO212" s="505"/>
      <c r="AP212" s="505"/>
      <c r="AQ212" s="505"/>
      <c r="AR212" s="505"/>
      <c r="AS212" s="505"/>
      <c r="AT212" s="505"/>
      <c r="AU212" s="505"/>
      <c r="AV212" s="505"/>
      <c r="AW212" s="505"/>
      <c r="AX212" s="505"/>
      <c r="AY212" s="505"/>
      <c r="AZ212" s="505"/>
      <c r="BA212" s="505"/>
      <c r="BB212" s="505"/>
      <c r="BC212" s="505"/>
      <c r="BD212" s="505"/>
      <c r="BE212" s="505"/>
      <c r="BF212" s="505"/>
      <c r="BG212" s="505"/>
      <c r="BH212" s="505"/>
      <c r="BI212" s="505"/>
      <c r="BJ212" s="505"/>
      <c r="BK212" s="505"/>
      <c r="BL212" s="505"/>
      <c r="BM212" s="505"/>
    </row>
    <row r="213" spans="1:65" ht="9.9499999999999993" customHeight="1">
      <c r="A213" s="505"/>
      <c r="B213" s="505"/>
      <c r="C213" s="505"/>
      <c r="D213" s="505"/>
      <c r="E213" s="505"/>
      <c r="F213" s="505"/>
      <c r="G213" s="505"/>
      <c r="H213" s="505"/>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505"/>
      <c r="AE213" s="505"/>
      <c r="AF213" s="505"/>
      <c r="AG213" s="505"/>
      <c r="AH213" s="505"/>
      <c r="AI213" s="505"/>
      <c r="AJ213" s="505"/>
      <c r="AK213" s="505"/>
      <c r="AL213" s="505"/>
      <c r="AM213" s="505"/>
      <c r="AN213" s="505"/>
      <c r="AO213" s="505"/>
      <c r="AP213" s="505"/>
      <c r="AQ213" s="505"/>
      <c r="AR213" s="505"/>
      <c r="AS213" s="505"/>
      <c r="AT213" s="505"/>
      <c r="AU213" s="505"/>
      <c r="AV213" s="505"/>
      <c r="AW213" s="505"/>
      <c r="AX213" s="505"/>
      <c r="AY213" s="505"/>
      <c r="AZ213" s="505"/>
      <c r="BA213" s="505"/>
      <c r="BB213" s="505"/>
      <c r="BC213" s="505"/>
      <c r="BD213" s="505"/>
      <c r="BE213" s="505"/>
      <c r="BF213" s="505"/>
      <c r="BG213" s="505"/>
      <c r="BH213" s="505"/>
      <c r="BI213" s="505"/>
      <c r="BJ213" s="505"/>
      <c r="BK213" s="505"/>
      <c r="BL213" s="505"/>
      <c r="BM213" s="505"/>
    </row>
    <row r="214" spans="1:65" ht="9.9499999999999993" customHeight="1">
      <c r="A214" s="505"/>
      <c r="B214" s="505"/>
      <c r="C214" s="505"/>
      <c r="D214" s="505"/>
      <c r="E214" s="505"/>
      <c r="F214" s="505"/>
      <c r="G214" s="505"/>
      <c r="H214" s="505"/>
      <c r="I214" s="505"/>
      <c r="J214" s="505"/>
      <c r="K214" s="505"/>
      <c r="L214" s="505"/>
      <c r="M214" s="505"/>
      <c r="N214" s="505"/>
      <c r="O214" s="505"/>
      <c r="P214" s="505"/>
      <c r="Q214" s="505"/>
      <c r="R214" s="505"/>
      <c r="S214" s="505"/>
      <c r="T214" s="505"/>
      <c r="U214" s="505"/>
      <c r="V214" s="505"/>
      <c r="W214" s="505"/>
      <c r="X214" s="505"/>
      <c r="Y214" s="505"/>
      <c r="Z214" s="505"/>
      <c r="AA214" s="505"/>
      <c r="AB214" s="505"/>
      <c r="AC214" s="505"/>
      <c r="AD214" s="505"/>
      <c r="AE214" s="505"/>
      <c r="AF214" s="505"/>
      <c r="AG214" s="505"/>
      <c r="AH214" s="505"/>
      <c r="AI214" s="505"/>
      <c r="AJ214" s="505"/>
      <c r="AK214" s="505"/>
      <c r="AL214" s="505"/>
      <c r="AM214" s="505"/>
      <c r="AN214" s="505"/>
      <c r="AO214" s="505"/>
      <c r="AP214" s="505"/>
      <c r="AQ214" s="505"/>
      <c r="AR214" s="505"/>
      <c r="AS214" s="505"/>
      <c r="AT214" s="505"/>
      <c r="AU214" s="505"/>
      <c r="AV214" s="505"/>
      <c r="AW214" s="505"/>
      <c r="AX214" s="505"/>
      <c r="AY214" s="505"/>
      <c r="AZ214" s="505"/>
      <c r="BA214" s="505"/>
      <c r="BB214" s="505"/>
      <c r="BC214" s="505"/>
      <c r="BD214" s="505"/>
      <c r="BE214" s="505"/>
      <c r="BF214" s="505"/>
      <c r="BG214" s="505"/>
      <c r="BH214" s="505"/>
      <c r="BI214" s="505"/>
      <c r="BJ214" s="505"/>
      <c r="BK214" s="505"/>
      <c r="BL214" s="505"/>
      <c r="BM214" s="505"/>
    </row>
    <row r="215" spans="1:65" ht="9.9499999999999993" customHeight="1">
      <c r="A215" s="505"/>
      <c r="B215" s="505"/>
      <c r="C215" s="505"/>
      <c r="D215" s="505"/>
      <c r="E215" s="505"/>
      <c r="F215" s="505"/>
      <c r="G215" s="505"/>
      <c r="H215" s="505"/>
      <c r="I215" s="505"/>
      <c r="J215" s="505"/>
      <c r="K215" s="505"/>
      <c r="L215" s="505"/>
      <c r="M215" s="505"/>
      <c r="N215" s="505"/>
      <c r="O215" s="505"/>
      <c r="P215" s="505"/>
      <c r="Q215" s="505"/>
      <c r="R215" s="505"/>
      <c r="S215" s="505"/>
      <c r="T215" s="505"/>
      <c r="U215" s="505"/>
      <c r="V215" s="505"/>
      <c r="W215" s="505"/>
      <c r="X215" s="505"/>
      <c r="Y215" s="505"/>
      <c r="Z215" s="505"/>
      <c r="AA215" s="505"/>
      <c r="AB215" s="505"/>
      <c r="AC215" s="505"/>
      <c r="AD215" s="505"/>
      <c r="AE215" s="505"/>
      <c r="AF215" s="505"/>
      <c r="AG215" s="505"/>
      <c r="AH215" s="505"/>
      <c r="AI215" s="505"/>
      <c r="AJ215" s="505"/>
      <c r="AK215" s="505"/>
      <c r="AL215" s="505"/>
      <c r="AM215" s="505"/>
      <c r="AN215" s="505"/>
      <c r="AO215" s="505"/>
      <c r="AP215" s="505"/>
      <c r="AQ215" s="505"/>
      <c r="AR215" s="505"/>
      <c r="AS215" s="505"/>
      <c r="AT215" s="505"/>
      <c r="AU215" s="505"/>
      <c r="AV215" s="505"/>
      <c r="AW215" s="505"/>
      <c r="AX215" s="505"/>
      <c r="AY215" s="505"/>
      <c r="AZ215" s="505"/>
      <c r="BA215" s="505"/>
      <c r="BB215" s="505"/>
      <c r="BC215" s="505"/>
      <c r="BD215" s="505"/>
      <c r="BE215" s="505"/>
      <c r="BF215" s="505"/>
      <c r="BG215" s="505"/>
      <c r="BH215" s="505"/>
      <c r="BI215" s="505"/>
      <c r="BJ215" s="505"/>
      <c r="BK215" s="505"/>
      <c r="BL215" s="505"/>
      <c r="BM215" s="505"/>
    </row>
    <row r="216" spans="1:65" ht="9.9499999999999993" customHeight="1">
      <c r="A216" s="505"/>
      <c r="B216" s="505"/>
      <c r="C216" s="505"/>
      <c r="D216" s="505"/>
      <c r="E216" s="505"/>
      <c r="F216" s="505"/>
      <c r="G216" s="505"/>
      <c r="H216" s="505"/>
      <c r="I216" s="505"/>
      <c r="J216" s="505"/>
      <c r="K216" s="505"/>
      <c r="L216" s="505"/>
      <c r="M216" s="505"/>
      <c r="N216" s="505"/>
      <c r="O216" s="505"/>
      <c r="P216" s="505"/>
      <c r="Q216" s="505"/>
      <c r="R216" s="505"/>
      <c r="S216" s="505"/>
      <c r="T216" s="505"/>
      <c r="U216" s="505"/>
      <c r="V216" s="505"/>
      <c r="W216" s="505"/>
      <c r="X216" s="505"/>
      <c r="Y216" s="505"/>
      <c r="Z216" s="505"/>
      <c r="AA216" s="505"/>
      <c r="AB216" s="505"/>
      <c r="AC216" s="505"/>
      <c r="AD216" s="505"/>
      <c r="AE216" s="505"/>
      <c r="AF216" s="505"/>
      <c r="AG216" s="505"/>
      <c r="AH216" s="505"/>
      <c r="AI216" s="505"/>
      <c r="AJ216" s="505"/>
      <c r="AK216" s="505"/>
      <c r="AL216" s="505"/>
      <c r="AM216" s="505"/>
      <c r="AN216" s="505"/>
      <c r="AO216" s="505"/>
      <c r="AP216" s="505"/>
      <c r="AQ216" s="505"/>
      <c r="AR216" s="505"/>
      <c r="AS216" s="505"/>
      <c r="AT216" s="505"/>
      <c r="AU216" s="505"/>
      <c r="AV216" s="505"/>
      <c r="AW216" s="505"/>
      <c r="AX216" s="505"/>
      <c r="AY216" s="505"/>
      <c r="AZ216" s="505"/>
      <c r="BA216" s="505"/>
      <c r="BB216" s="505"/>
      <c r="BC216" s="505"/>
      <c r="BD216" s="505"/>
      <c r="BE216" s="505"/>
      <c r="BF216" s="505"/>
      <c r="BG216" s="505"/>
      <c r="BH216" s="505"/>
      <c r="BI216" s="505"/>
      <c r="BJ216" s="505"/>
      <c r="BK216" s="505"/>
      <c r="BL216" s="505"/>
      <c r="BM216" s="505"/>
    </row>
    <row r="217" spans="1:65" ht="9.9499999999999993" customHeight="1">
      <c r="A217" s="505"/>
      <c r="B217" s="505"/>
      <c r="C217" s="505"/>
      <c r="D217" s="505"/>
      <c r="E217" s="505"/>
      <c r="F217" s="505"/>
      <c r="G217" s="505"/>
      <c r="H217" s="505"/>
      <c r="I217" s="505"/>
      <c r="J217" s="505"/>
      <c r="K217" s="505"/>
      <c r="L217" s="505"/>
      <c r="M217" s="505"/>
      <c r="N217" s="505"/>
      <c r="O217" s="505"/>
      <c r="P217" s="505"/>
      <c r="Q217" s="505"/>
      <c r="R217" s="505"/>
      <c r="S217" s="505"/>
      <c r="T217" s="505"/>
      <c r="U217" s="505"/>
      <c r="V217" s="505"/>
      <c r="W217" s="505"/>
      <c r="X217" s="505"/>
      <c r="Y217" s="505"/>
      <c r="Z217" s="505"/>
      <c r="AA217" s="505"/>
      <c r="AB217" s="505"/>
      <c r="AC217" s="505"/>
      <c r="AD217" s="505"/>
      <c r="AE217" s="505"/>
      <c r="AF217" s="505"/>
      <c r="AG217" s="505"/>
      <c r="AH217" s="505"/>
      <c r="AI217" s="505"/>
      <c r="AJ217" s="505"/>
      <c r="AK217" s="505"/>
      <c r="AL217" s="505"/>
      <c r="AM217" s="505"/>
      <c r="AN217" s="505"/>
      <c r="AO217" s="505"/>
      <c r="AP217" s="505"/>
      <c r="AQ217" s="505"/>
      <c r="AR217" s="505"/>
      <c r="AS217" s="505"/>
      <c r="AT217" s="505"/>
      <c r="AU217" s="505"/>
      <c r="AV217" s="505"/>
      <c r="AW217" s="505"/>
      <c r="AX217" s="505"/>
      <c r="AY217" s="505"/>
      <c r="AZ217" s="505"/>
      <c r="BA217" s="505"/>
      <c r="BB217" s="505"/>
      <c r="BC217" s="505"/>
      <c r="BD217" s="505"/>
      <c r="BE217" s="505"/>
      <c r="BF217" s="505"/>
      <c r="BG217" s="505"/>
      <c r="BH217" s="505"/>
      <c r="BI217" s="505"/>
      <c r="BJ217" s="505"/>
      <c r="BK217" s="505"/>
      <c r="BL217" s="505"/>
      <c r="BM217" s="505"/>
    </row>
    <row r="218" spans="1:65" ht="9.9499999999999993" customHeight="1">
      <c r="A218" s="505"/>
      <c r="B218" s="505"/>
      <c r="C218" s="505"/>
      <c r="D218" s="505"/>
      <c r="E218" s="505"/>
      <c r="F218" s="505"/>
      <c r="G218" s="505"/>
      <c r="H218" s="505"/>
      <c r="I218" s="505"/>
      <c r="J218" s="505"/>
      <c r="K218" s="505"/>
      <c r="L218" s="505"/>
      <c r="M218" s="505"/>
      <c r="N218" s="505"/>
      <c r="O218" s="505"/>
      <c r="P218" s="505"/>
      <c r="Q218" s="505"/>
      <c r="R218" s="505"/>
      <c r="S218" s="505"/>
      <c r="T218" s="505"/>
      <c r="U218" s="505"/>
      <c r="V218" s="505"/>
      <c r="W218" s="505"/>
      <c r="X218" s="505"/>
      <c r="Y218" s="505"/>
      <c r="Z218" s="505"/>
      <c r="AA218" s="505"/>
      <c r="AB218" s="505"/>
      <c r="AC218" s="505"/>
      <c r="AD218" s="505"/>
      <c r="AE218" s="505"/>
      <c r="AF218" s="505"/>
      <c r="AG218" s="505"/>
      <c r="AH218" s="505"/>
      <c r="AI218" s="505"/>
      <c r="AJ218" s="505"/>
      <c r="AK218" s="505"/>
      <c r="AL218" s="505"/>
      <c r="AM218" s="505"/>
      <c r="AN218" s="505"/>
      <c r="AO218" s="505"/>
      <c r="AP218" s="505"/>
      <c r="AQ218" s="505"/>
      <c r="AR218" s="505"/>
      <c r="AS218" s="505"/>
      <c r="AT218" s="505"/>
      <c r="AU218" s="505"/>
      <c r="AV218" s="505"/>
      <c r="AW218" s="505"/>
      <c r="AX218" s="505"/>
      <c r="AY218" s="505"/>
      <c r="AZ218" s="505"/>
      <c r="BA218" s="505"/>
      <c r="BB218" s="505"/>
      <c r="BC218" s="505"/>
      <c r="BD218" s="505"/>
      <c r="BE218" s="505"/>
      <c r="BF218" s="505"/>
      <c r="BG218" s="505"/>
      <c r="BH218" s="505"/>
      <c r="BI218" s="505"/>
      <c r="BJ218" s="505"/>
      <c r="BK218" s="505"/>
      <c r="BL218" s="505"/>
      <c r="BM218" s="505"/>
    </row>
    <row r="219" spans="1:65" ht="9.9499999999999993" customHeight="1">
      <c r="A219" s="505"/>
      <c r="B219" s="505"/>
      <c r="C219" s="505"/>
      <c r="D219" s="505"/>
      <c r="E219" s="505"/>
      <c r="F219" s="505"/>
      <c r="G219" s="505"/>
      <c r="H219" s="505"/>
      <c r="I219" s="505"/>
      <c r="J219" s="505"/>
      <c r="K219" s="505"/>
      <c r="L219" s="505"/>
      <c r="M219" s="505"/>
      <c r="N219" s="505"/>
      <c r="O219" s="505"/>
      <c r="P219" s="505"/>
      <c r="Q219" s="505"/>
      <c r="R219" s="505"/>
      <c r="S219" s="505"/>
      <c r="T219" s="505"/>
      <c r="U219" s="505"/>
      <c r="V219" s="505"/>
      <c r="W219" s="505"/>
      <c r="X219" s="505"/>
      <c r="Y219" s="505"/>
      <c r="Z219" s="505"/>
      <c r="AA219" s="505"/>
      <c r="AB219" s="505"/>
      <c r="AC219" s="505"/>
      <c r="AD219" s="505"/>
      <c r="AE219" s="505"/>
      <c r="AF219" s="505"/>
      <c r="AG219" s="505"/>
      <c r="AH219" s="505"/>
      <c r="AI219" s="505"/>
      <c r="AJ219" s="505"/>
      <c r="AK219" s="505"/>
      <c r="AL219" s="505"/>
      <c r="AM219" s="505"/>
      <c r="AN219" s="505"/>
      <c r="AO219" s="505"/>
      <c r="AP219" s="505"/>
      <c r="AQ219" s="505"/>
      <c r="AR219" s="505"/>
      <c r="AS219" s="505"/>
      <c r="AT219" s="505"/>
      <c r="AU219" s="505"/>
      <c r="AV219" s="505"/>
      <c r="AW219" s="505"/>
      <c r="AX219" s="505"/>
      <c r="AY219" s="505"/>
      <c r="AZ219" s="505"/>
      <c r="BA219" s="505"/>
      <c r="BB219" s="505"/>
      <c r="BC219" s="505"/>
      <c r="BD219" s="505"/>
      <c r="BE219" s="505"/>
      <c r="BF219" s="505"/>
      <c r="BG219" s="505"/>
      <c r="BH219" s="505"/>
      <c r="BI219" s="505"/>
      <c r="BJ219" s="505"/>
      <c r="BK219" s="505"/>
      <c r="BL219" s="505"/>
      <c r="BM219" s="505"/>
    </row>
    <row r="220" spans="1:65" ht="9.9499999999999993" customHeight="1">
      <c r="A220" s="505"/>
      <c r="B220" s="505"/>
      <c r="C220" s="505"/>
      <c r="D220" s="505"/>
      <c r="E220" s="505"/>
      <c r="F220" s="505"/>
      <c r="G220" s="505"/>
      <c r="H220" s="505"/>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row>
    <row r="221" spans="1:65" ht="9.9499999999999993" customHeight="1">
      <c r="A221" s="505"/>
      <c r="B221" s="505"/>
      <c r="C221" s="505"/>
      <c r="D221" s="505"/>
      <c r="E221" s="505"/>
      <c r="F221" s="505"/>
      <c r="G221" s="505"/>
      <c r="H221" s="505"/>
      <c r="I221" s="505"/>
      <c r="J221" s="505"/>
      <c r="K221" s="505"/>
      <c r="L221" s="505"/>
      <c r="M221" s="505"/>
      <c r="N221" s="505"/>
      <c r="O221" s="505"/>
      <c r="P221" s="505"/>
      <c r="Q221" s="505"/>
      <c r="R221" s="505"/>
      <c r="S221" s="505"/>
      <c r="T221" s="505"/>
      <c r="U221" s="505"/>
      <c r="V221" s="505"/>
      <c r="W221" s="505"/>
      <c r="X221" s="505"/>
      <c r="Y221" s="505"/>
      <c r="Z221" s="505"/>
      <c r="AA221" s="505"/>
      <c r="AB221" s="505"/>
      <c r="AC221" s="505"/>
      <c r="AD221" s="505"/>
      <c r="AE221" s="505"/>
      <c r="AF221" s="505"/>
      <c r="AG221" s="505"/>
      <c r="AH221" s="505"/>
      <c r="AI221" s="505"/>
      <c r="AJ221" s="505"/>
      <c r="AK221" s="505"/>
      <c r="AL221" s="505"/>
      <c r="AM221" s="505"/>
      <c r="AN221" s="505"/>
      <c r="AO221" s="505"/>
      <c r="AP221" s="505"/>
      <c r="AQ221" s="505"/>
      <c r="AR221" s="505"/>
      <c r="AS221" s="505"/>
      <c r="AT221" s="505"/>
      <c r="AU221" s="505"/>
      <c r="AV221" s="505"/>
      <c r="AW221" s="505"/>
      <c r="AX221" s="505"/>
      <c r="AY221" s="505"/>
      <c r="AZ221" s="505"/>
      <c r="BA221" s="505"/>
      <c r="BB221" s="505"/>
      <c r="BC221" s="505"/>
      <c r="BD221" s="505"/>
      <c r="BE221" s="505"/>
      <c r="BF221" s="505"/>
      <c r="BG221" s="505"/>
      <c r="BH221" s="505"/>
      <c r="BI221" s="505"/>
      <c r="BJ221" s="505"/>
      <c r="BK221" s="505"/>
      <c r="BL221" s="505"/>
      <c r="BM221" s="505"/>
    </row>
    <row r="222" spans="1:65" ht="9.9499999999999993" customHeight="1">
      <c r="A222" s="505"/>
      <c r="B222" s="505"/>
      <c r="C222" s="505"/>
      <c r="D222" s="505"/>
      <c r="E222" s="505"/>
      <c r="F222" s="505"/>
      <c r="G222" s="505"/>
      <c r="H222" s="505"/>
      <c r="I222" s="505"/>
      <c r="J222" s="505"/>
      <c r="K222" s="505"/>
      <c r="L222" s="505"/>
      <c r="M222" s="505"/>
      <c r="N222" s="505"/>
      <c r="O222" s="505"/>
      <c r="P222" s="505"/>
      <c r="Q222" s="505"/>
      <c r="R222" s="505"/>
      <c r="S222" s="505"/>
      <c r="T222" s="505"/>
      <c r="U222" s="505"/>
      <c r="V222" s="505"/>
      <c r="W222" s="505"/>
      <c r="X222" s="505"/>
      <c r="Y222" s="505"/>
      <c r="Z222" s="505"/>
      <c r="AA222" s="505"/>
      <c r="AB222" s="505"/>
      <c r="AC222" s="505"/>
      <c r="AD222" s="505"/>
      <c r="AE222" s="505"/>
      <c r="AF222" s="505"/>
      <c r="AG222" s="505"/>
      <c r="AH222" s="505"/>
      <c r="AI222" s="505"/>
      <c r="AJ222" s="505"/>
      <c r="AK222" s="505"/>
      <c r="AL222" s="505"/>
      <c r="AM222" s="505"/>
      <c r="AN222" s="505"/>
      <c r="AO222" s="505"/>
      <c r="AP222" s="505"/>
      <c r="AQ222" s="505"/>
      <c r="AR222" s="505"/>
      <c r="AS222" s="505"/>
      <c r="AT222" s="505"/>
      <c r="AU222" s="505"/>
      <c r="AV222" s="505"/>
      <c r="AW222" s="505"/>
      <c r="AX222" s="505"/>
      <c r="AY222" s="505"/>
      <c r="AZ222" s="505"/>
      <c r="BA222" s="505"/>
      <c r="BB222" s="505"/>
      <c r="BC222" s="505"/>
      <c r="BD222" s="505"/>
      <c r="BE222" s="505"/>
      <c r="BF222" s="505"/>
      <c r="BG222" s="505"/>
      <c r="BH222" s="505"/>
      <c r="BI222" s="505"/>
      <c r="BJ222" s="505"/>
      <c r="BK222" s="505"/>
      <c r="BL222" s="505"/>
      <c r="BM222" s="505"/>
    </row>
    <row r="223" spans="1:65" ht="9.9499999999999993" customHeight="1">
      <c r="A223" s="505"/>
      <c r="B223" s="505"/>
      <c r="C223" s="505"/>
      <c r="D223" s="505"/>
      <c r="E223" s="505"/>
      <c r="F223" s="505"/>
      <c r="G223" s="505"/>
      <c r="H223" s="505"/>
      <c r="I223" s="505"/>
      <c r="J223" s="505"/>
      <c r="K223" s="505"/>
      <c r="L223" s="505"/>
      <c r="M223" s="505"/>
      <c r="N223" s="505"/>
      <c r="O223" s="505"/>
      <c r="P223" s="505"/>
      <c r="Q223" s="505"/>
      <c r="R223" s="505"/>
      <c r="S223" s="505"/>
      <c r="T223" s="505"/>
      <c r="U223" s="505"/>
      <c r="V223" s="505"/>
      <c r="W223" s="505"/>
      <c r="X223" s="505"/>
      <c r="Y223" s="505"/>
      <c r="Z223" s="505"/>
      <c r="AA223" s="505"/>
      <c r="AB223" s="505"/>
      <c r="AC223" s="505"/>
      <c r="AD223" s="505"/>
      <c r="AE223" s="505"/>
      <c r="AF223" s="505"/>
      <c r="AG223" s="505"/>
      <c r="AH223" s="505"/>
      <c r="AI223" s="505"/>
      <c r="AJ223" s="505"/>
      <c r="AK223" s="505"/>
      <c r="AL223" s="505"/>
      <c r="AM223" s="505"/>
      <c r="AN223" s="505"/>
      <c r="AO223" s="505"/>
      <c r="AP223" s="505"/>
      <c r="AQ223" s="505"/>
      <c r="AR223" s="505"/>
      <c r="AS223" s="505"/>
      <c r="AT223" s="505"/>
      <c r="AU223" s="505"/>
      <c r="AV223" s="505"/>
      <c r="AW223" s="505"/>
      <c r="AX223" s="505"/>
      <c r="AY223" s="505"/>
      <c r="AZ223" s="505"/>
      <c r="BA223" s="505"/>
      <c r="BB223" s="505"/>
      <c r="BC223" s="505"/>
      <c r="BD223" s="505"/>
      <c r="BE223" s="505"/>
      <c r="BF223" s="505"/>
      <c r="BG223" s="505"/>
      <c r="BH223" s="505"/>
      <c r="BI223" s="505"/>
      <c r="BJ223" s="505"/>
      <c r="BK223" s="505"/>
      <c r="BL223" s="505"/>
      <c r="BM223" s="505"/>
    </row>
    <row r="224" spans="1:65" ht="9.9499999999999993" customHeight="1">
      <c r="A224" s="505"/>
      <c r="B224" s="505"/>
      <c r="C224" s="505"/>
      <c r="D224" s="505"/>
      <c r="E224" s="505"/>
      <c r="F224" s="505"/>
      <c r="G224" s="505"/>
      <c r="H224" s="505"/>
      <c r="I224" s="505"/>
      <c r="J224" s="505"/>
      <c r="K224" s="505"/>
      <c r="L224" s="505"/>
      <c r="M224" s="505"/>
      <c r="N224" s="505"/>
      <c r="O224" s="505"/>
      <c r="P224" s="505"/>
      <c r="Q224" s="505"/>
      <c r="R224" s="505"/>
      <c r="S224" s="505"/>
      <c r="T224" s="505"/>
      <c r="U224" s="505"/>
      <c r="V224" s="505"/>
      <c r="W224" s="505"/>
      <c r="X224" s="505"/>
      <c r="Y224" s="505"/>
      <c r="Z224" s="505"/>
      <c r="AA224" s="505"/>
      <c r="AB224" s="505"/>
      <c r="AC224" s="505"/>
      <c r="AD224" s="505"/>
      <c r="AE224" s="505"/>
      <c r="AF224" s="505"/>
      <c r="AG224" s="505"/>
      <c r="AH224" s="505"/>
      <c r="AI224" s="505"/>
      <c r="AJ224" s="505"/>
      <c r="AK224" s="505"/>
      <c r="AL224" s="505"/>
      <c r="AM224" s="505"/>
      <c r="AN224" s="505"/>
      <c r="AO224" s="505"/>
      <c r="AP224" s="505"/>
      <c r="AQ224" s="505"/>
      <c r="AR224" s="505"/>
      <c r="AS224" s="505"/>
      <c r="AT224" s="505"/>
      <c r="AU224" s="505"/>
      <c r="AV224" s="505"/>
      <c r="AW224" s="505"/>
      <c r="AX224" s="505"/>
      <c r="AY224" s="505"/>
      <c r="AZ224" s="505"/>
      <c r="BA224" s="505"/>
      <c r="BB224" s="505"/>
      <c r="BC224" s="505"/>
      <c r="BD224" s="505"/>
      <c r="BE224" s="505"/>
      <c r="BF224" s="505"/>
      <c r="BG224" s="505"/>
      <c r="BH224" s="505"/>
      <c r="BI224" s="505"/>
      <c r="BJ224" s="505"/>
      <c r="BK224" s="505"/>
      <c r="BL224" s="505"/>
      <c r="BM224" s="505"/>
    </row>
    <row r="225" spans="1:65" ht="9.9499999999999993" customHeight="1">
      <c r="A225" s="505"/>
      <c r="B225" s="505"/>
      <c r="C225" s="505"/>
      <c r="D225" s="505"/>
      <c r="E225" s="505"/>
      <c r="F225" s="505"/>
      <c r="G225" s="505"/>
      <c r="H225" s="505"/>
      <c r="I225" s="505"/>
      <c r="J225" s="505"/>
      <c r="K225" s="505"/>
      <c r="L225" s="505"/>
      <c r="M225" s="505"/>
      <c r="N225" s="505"/>
      <c r="O225" s="505"/>
      <c r="P225" s="505"/>
      <c r="Q225" s="505"/>
      <c r="R225" s="505"/>
      <c r="S225" s="505"/>
      <c r="T225" s="505"/>
      <c r="U225" s="505"/>
      <c r="V225" s="505"/>
      <c r="W225" s="505"/>
      <c r="X225" s="505"/>
      <c r="Y225" s="505"/>
      <c r="Z225" s="505"/>
      <c r="AA225" s="505"/>
      <c r="AB225" s="505"/>
      <c r="AC225" s="505"/>
      <c r="AD225" s="505"/>
      <c r="AE225" s="505"/>
      <c r="AF225" s="505"/>
      <c r="AG225" s="505"/>
      <c r="AH225" s="505"/>
      <c r="AI225" s="505"/>
      <c r="AJ225" s="505"/>
      <c r="AK225" s="505"/>
      <c r="AL225" s="505"/>
      <c r="AM225" s="505"/>
      <c r="AN225" s="505"/>
      <c r="AO225" s="505"/>
      <c r="AP225" s="505"/>
      <c r="AQ225" s="505"/>
      <c r="AR225" s="505"/>
      <c r="AS225" s="505"/>
      <c r="AT225" s="505"/>
      <c r="AU225" s="505"/>
      <c r="AV225" s="505"/>
      <c r="AW225" s="505"/>
      <c r="AX225" s="505"/>
      <c r="AY225" s="505"/>
      <c r="AZ225" s="505"/>
      <c r="BA225" s="505"/>
      <c r="BB225" s="505"/>
      <c r="BC225" s="505"/>
      <c r="BD225" s="505"/>
      <c r="BE225" s="505"/>
      <c r="BF225" s="505"/>
      <c r="BG225" s="505"/>
      <c r="BH225" s="505"/>
      <c r="BI225" s="505"/>
      <c r="BJ225" s="505"/>
      <c r="BK225" s="505"/>
      <c r="BL225" s="505"/>
      <c r="BM225" s="505"/>
    </row>
    <row r="226" spans="1:65" ht="9.9499999999999993" customHeight="1">
      <c r="A226" s="505"/>
      <c r="B226" s="505"/>
      <c r="C226" s="505"/>
      <c r="D226" s="505"/>
      <c r="E226" s="505"/>
      <c r="F226" s="505"/>
      <c r="G226" s="505"/>
      <c r="H226" s="505"/>
      <c r="I226" s="505"/>
      <c r="J226" s="505"/>
      <c r="K226" s="505"/>
      <c r="L226" s="505"/>
      <c r="M226" s="505"/>
      <c r="N226" s="505"/>
      <c r="O226" s="505"/>
      <c r="P226" s="505"/>
      <c r="Q226" s="505"/>
      <c r="R226" s="505"/>
      <c r="S226" s="505"/>
      <c r="T226" s="505"/>
      <c r="U226" s="505"/>
      <c r="V226" s="505"/>
      <c r="W226" s="505"/>
      <c r="X226" s="505"/>
      <c r="Y226" s="505"/>
      <c r="Z226" s="505"/>
      <c r="AA226" s="505"/>
      <c r="AB226" s="505"/>
      <c r="AC226" s="505"/>
      <c r="AD226" s="505"/>
      <c r="AE226" s="505"/>
      <c r="AF226" s="505"/>
      <c r="AG226" s="505"/>
      <c r="AH226" s="505"/>
      <c r="AI226" s="505"/>
      <c r="AJ226" s="505"/>
      <c r="AK226" s="505"/>
      <c r="AL226" s="505"/>
      <c r="AM226" s="505"/>
      <c r="AN226" s="505"/>
      <c r="AO226" s="505"/>
      <c r="AP226" s="505"/>
      <c r="AQ226" s="505"/>
      <c r="AR226" s="505"/>
      <c r="AS226" s="505"/>
      <c r="AT226" s="505"/>
      <c r="AU226" s="505"/>
      <c r="AV226" s="505"/>
      <c r="AW226" s="505"/>
      <c r="AX226" s="505"/>
      <c r="AY226" s="505"/>
      <c r="AZ226" s="505"/>
      <c r="BA226" s="505"/>
      <c r="BB226" s="505"/>
      <c r="BC226" s="505"/>
      <c r="BD226" s="505"/>
      <c r="BE226" s="505"/>
      <c r="BF226" s="505"/>
      <c r="BG226" s="505"/>
      <c r="BH226" s="505"/>
      <c r="BI226" s="505"/>
      <c r="BJ226" s="505"/>
      <c r="BK226" s="505"/>
      <c r="BL226" s="505"/>
      <c r="BM226" s="505"/>
    </row>
    <row r="227" spans="1:65" ht="9.9499999999999993" customHeight="1">
      <c r="A227" s="505"/>
      <c r="B227" s="505"/>
      <c r="C227" s="505"/>
      <c r="D227" s="505"/>
      <c r="E227" s="505"/>
      <c r="F227" s="505"/>
      <c r="G227" s="505"/>
      <c r="H227" s="505"/>
      <c r="I227" s="505"/>
      <c r="J227" s="505"/>
      <c r="K227" s="505"/>
      <c r="L227" s="505"/>
      <c r="M227" s="505"/>
      <c r="N227" s="505"/>
      <c r="O227" s="505"/>
      <c r="P227" s="505"/>
      <c r="Q227" s="505"/>
      <c r="R227" s="505"/>
      <c r="S227" s="505"/>
      <c r="T227" s="505"/>
      <c r="U227" s="505"/>
      <c r="V227" s="505"/>
      <c r="W227" s="505"/>
      <c r="X227" s="505"/>
      <c r="Y227" s="505"/>
      <c r="Z227" s="505"/>
      <c r="AA227" s="505"/>
      <c r="AB227" s="505"/>
      <c r="AC227" s="505"/>
      <c r="AD227" s="505"/>
      <c r="AE227" s="505"/>
      <c r="AF227" s="505"/>
      <c r="AG227" s="505"/>
      <c r="AH227" s="505"/>
      <c r="AI227" s="505"/>
      <c r="AJ227" s="505"/>
      <c r="AK227" s="505"/>
      <c r="AL227" s="505"/>
      <c r="AM227" s="505"/>
      <c r="AN227" s="505"/>
      <c r="AO227" s="505"/>
      <c r="AP227" s="505"/>
      <c r="AQ227" s="505"/>
      <c r="AR227" s="505"/>
      <c r="AS227" s="505"/>
      <c r="AT227" s="505"/>
      <c r="AU227" s="505"/>
      <c r="AV227" s="505"/>
      <c r="AW227" s="505"/>
      <c r="AX227" s="505"/>
      <c r="AY227" s="505"/>
      <c r="AZ227" s="505"/>
      <c r="BA227" s="505"/>
      <c r="BB227" s="505"/>
      <c r="BC227" s="505"/>
      <c r="BD227" s="505"/>
      <c r="BE227" s="505"/>
      <c r="BF227" s="505"/>
      <c r="BG227" s="505"/>
      <c r="BH227" s="505"/>
      <c r="BI227" s="505"/>
      <c r="BJ227" s="505"/>
      <c r="BK227" s="505"/>
      <c r="BL227" s="505"/>
      <c r="BM227" s="505"/>
    </row>
    <row r="228" spans="1:65" ht="9.9499999999999993" customHeight="1">
      <c r="A228" s="505"/>
      <c r="B228" s="505"/>
      <c r="C228" s="505"/>
      <c r="D228" s="505"/>
      <c r="E228" s="505"/>
      <c r="F228" s="505"/>
      <c r="G228" s="505"/>
      <c r="H228" s="505"/>
      <c r="I228" s="505"/>
      <c r="J228" s="505"/>
      <c r="K228" s="505"/>
      <c r="L228" s="505"/>
      <c r="M228" s="505"/>
      <c r="N228" s="505"/>
      <c r="O228" s="505"/>
      <c r="P228" s="505"/>
      <c r="Q228" s="505"/>
      <c r="R228" s="505"/>
      <c r="S228" s="505"/>
      <c r="T228" s="505"/>
      <c r="U228" s="505"/>
      <c r="V228" s="505"/>
      <c r="W228" s="505"/>
      <c r="X228" s="505"/>
      <c r="Y228" s="505"/>
      <c r="Z228" s="505"/>
      <c r="AA228" s="505"/>
      <c r="AB228" s="505"/>
      <c r="AC228" s="505"/>
      <c r="AD228" s="505"/>
      <c r="AE228" s="505"/>
      <c r="AF228" s="505"/>
      <c r="AG228" s="505"/>
      <c r="AH228" s="505"/>
      <c r="AI228" s="505"/>
      <c r="AJ228" s="505"/>
      <c r="AK228" s="505"/>
      <c r="AL228" s="505"/>
      <c r="AM228" s="505"/>
      <c r="AN228" s="505"/>
      <c r="AO228" s="505"/>
      <c r="AP228" s="505"/>
      <c r="AQ228" s="505"/>
      <c r="AR228" s="505"/>
      <c r="AS228" s="505"/>
      <c r="AT228" s="505"/>
      <c r="AU228" s="505"/>
      <c r="AV228" s="505"/>
      <c r="AW228" s="505"/>
      <c r="AX228" s="505"/>
      <c r="AY228" s="505"/>
      <c r="AZ228" s="505"/>
      <c r="BA228" s="505"/>
      <c r="BB228" s="505"/>
      <c r="BC228" s="505"/>
      <c r="BD228" s="505"/>
      <c r="BE228" s="505"/>
      <c r="BF228" s="505"/>
      <c r="BG228" s="505"/>
      <c r="BH228" s="505"/>
      <c r="BI228" s="505"/>
      <c r="BJ228" s="505"/>
      <c r="BK228" s="505"/>
      <c r="BL228" s="505"/>
      <c r="BM228" s="505"/>
    </row>
  </sheetData>
  <pageMargins left="0.7" right="0.7" top="0.75" bottom="0.75" header="0.3" footer="0.3"/>
  <pageSetup paperSize="9" scale="7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5"/>
  <dimension ref="A1:W596"/>
  <sheetViews>
    <sheetView showRowColHeaders="0" view="pageBreakPreview" zoomScale="60" zoomScaleNormal="100" workbookViewId="0">
      <pane xSplit="11" ySplit="44" topLeftCell="L45" activePane="bottomRight" state="frozen"/>
      <selection pane="topRight" activeCell="L1" sqref="L1"/>
      <selection pane="bottomLeft" activeCell="A45" sqref="A45"/>
      <selection pane="bottomRight"/>
    </sheetView>
  </sheetViews>
  <sheetFormatPr baseColWidth="10" defaultColWidth="12" defaultRowHeight="9.9499999999999993" customHeight="1"/>
  <cols>
    <col min="1" max="11" width="12" style="490"/>
    <col min="12" max="12" width="13.33203125" style="490" customWidth="1"/>
    <col min="13" max="16384" width="12" style="490"/>
  </cols>
  <sheetData>
    <row r="1" spans="1:23" ht="9.9499999999999993" customHeight="1">
      <c r="A1" s="505"/>
      <c r="B1" s="505"/>
      <c r="C1" s="505"/>
      <c r="D1" s="505"/>
      <c r="E1" s="505"/>
      <c r="F1" s="505"/>
      <c r="G1" s="505"/>
      <c r="H1" s="505"/>
      <c r="I1" s="505"/>
      <c r="J1" s="505"/>
      <c r="K1" s="505"/>
      <c r="L1" s="505"/>
      <c r="M1" s="505"/>
      <c r="N1" s="505"/>
      <c r="O1" s="505"/>
      <c r="P1" s="505"/>
      <c r="Q1" s="505"/>
      <c r="R1" s="505"/>
      <c r="S1" s="505"/>
      <c r="T1" s="505"/>
      <c r="U1" s="505"/>
      <c r="V1" s="505"/>
      <c r="W1" s="505"/>
    </row>
    <row r="2" spans="1:23" ht="9.9499999999999993" customHeight="1">
      <c r="A2" s="505"/>
      <c r="B2" s="486"/>
      <c r="C2" s="487"/>
      <c r="D2" s="487"/>
      <c r="E2" s="487"/>
      <c r="F2" s="488"/>
      <c r="G2" s="487"/>
      <c r="H2" s="487"/>
      <c r="I2" s="487"/>
      <c r="J2" s="487"/>
      <c r="K2" s="489"/>
      <c r="L2" s="505"/>
      <c r="M2" s="505"/>
      <c r="N2" s="505"/>
      <c r="O2" s="505"/>
      <c r="P2" s="505"/>
      <c r="Q2" s="505"/>
      <c r="R2" s="505"/>
      <c r="S2" s="505"/>
      <c r="T2" s="505"/>
      <c r="U2" s="505"/>
      <c r="V2" s="505"/>
      <c r="W2" s="505"/>
    </row>
    <row r="3" spans="1:23" ht="9.9499999999999993" customHeight="1">
      <c r="A3" s="505"/>
      <c r="B3" s="486"/>
      <c r="C3" s="487"/>
      <c r="D3" s="487"/>
      <c r="E3" s="487"/>
      <c r="F3" s="488"/>
      <c r="G3" s="487"/>
      <c r="H3" s="487"/>
      <c r="I3" s="487"/>
      <c r="J3" s="487"/>
      <c r="K3" s="489"/>
      <c r="L3" s="505"/>
      <c r="M3" s="505"/>
      <c r="N3" s="505"/>
      <c r="O3" s="505"/>
      <c r="P3" s="505"/>
      <c r="Q3" s="505"/>
      <c r="R3" s="505"/>
      <c r="S3" s="505"/>
      <c r="T3" s="505"/>
      <c r="U3" s="505"/>
      <c r="V3" s="505"/>
      <c r="W3" s="505"/>
    </row>
    <row r="4" spans="1:23" ht="9.9499999999999993" customHeight="1">
      <c r="A4" s="505"/>
      <c r="B4" s="486"/>
      <c r="C4" s="487"/>
      <c r="D4" s="487"/>
      <c r="E4" s="487"/>
      <c r="F4" s="488"/>
      <c r="G4" s="487"/>
      <c r="H4" s="487"/>
      <c r="I4" s="487"/>
      <c r="J4" s="487"/>
      <c r="K4" s="489"/>
      <c r="L4" s="505"/>
      <c r="M4" s="505"/>
      <c r="N4" s="505"/>
      <c r="O4" s="505"/>
      <c r="P4" s="505"/>
      <c r="Q4" s="505"/>
      <c r="R4" s="505"/>
      <c r="S4" s="505"/>
      <c r="T4" s="505"/>
      <c r="U4" s="505"/>
      <c r="V4" s="505"/>
      <c r="W4" s="505"/>
    </row>
    <row r="5" spans="1:23" ht="9.9499999999999993" customHeight="1">
      <c r="A5" s="505"/>
      <c r="B5" s="486"/>
      <c r="C5" s="487"/>
      <c r="D5" s="487"/>
      <c r="E5" s="487"/>
      <c r="F5" s="488"/>
      <c r="G5" s="487"/>
      <c r="H5" s="487"/>
      <c r="I5" s="487"/>
      <c r="J5" s="487"/>
      <c r="K5" s="489"/>
      <c r="L5" s="505"/>
      <c r="M5" s="505"/>
      <c r="N5" s="505"/>
      <c r="O5" s="505"/>
      <c r="P5" s="505"/>
      <c r="Q5" s="505"/>
      <c r="R5" s="505"/>
      <c r="S5" s="505"/>
      <c r="T5" s="505"/>
      <c r="U5" s="505"/>
      <c r="V5" s="505"/>
      <c r="W5" s="505"/>
    </row>
    <row r="6" spans="1:23" ht="9.9499999999999993" customHeight="1" thickBot="1">
      <c r="A6" s="505"/>
      <c r="B6" s="491"/>
      <c r="C6" s="492"/>
      <c r="D6" s="492"/>
      <c r="E6" s="492"/>
      <c r="F6" s="493"/>
      <c r="G6" s="487"/>
      <c r="H6" s="487"/>
      <c r="I6" s="487"/>
      <c r="J6" s="487"/>
      <c r="K6" s="489"/>
      <c r="L6" s="505"/>
      <c r="M6" s="505"/>
      <c r="N6" s="505"/>
      <c r="O6" s="505"/>
      <c r="P6" s="505"/>
      <c r="Q6" s="505"/>
      <c r="R6" s="505"/>
      <c r="S6" s="505"/>
      <c r="T6" s="505"/>
      <c r="U6" s="505"/>
      <c r="V6" s="505"/>
      <c r="W6" s="505"/>
    </row>
    <row r="7" spans="1:23" ht="9.9499999999999993" customHeight="1">
      <c r="A7" s="505"/>
      <c r="B7" s="494"/>
      <c r="C7" s="487"/>
      <c r="D7" s="487"/>
      <c r="E7" s="487"/>
      <c r="F7" s="489"/>
      <c r="G7" s="487"/>
      <c r="H7" s="487"/>
      <c r="I7" s="487"/>
      <c r="J7" s="487"/>
      <c r="K7" s="489"/>
      <c r="L7" s="505"/>
      <c r="M7" s="505"/>
      <c r="N7" s="505"/>
      <c r="O7" s="505"/>
      <c r="P7" s="505"/>
      <c r="Q7" s="505"/>
      <c r="R7" s="505"/>
      <c r="S7" s="505"/>
      <c r="T7" s="505"/>
      <c r="U7" s="505"/>
      <c r="V7" s="505"/>
      <c r="W7" s="505"/>
    </row>
    <row r="8" spans="1:23" ht="9.9499999999999993" customHeight="1">
      <c r="A8" s="505"/>
      <c r="B8" s="494"/>
      <c r="C8" s="487"/>
      <c r="D8" s="487"/>
      <c r="E8" s="487"/>
      <c r="F8" s="489"/>
      <c r="G8" s="487"/>
      <c r="H8" s="487"/>
      <c r="I8" s="487"/>
      <c r="J8" s="487"/>
      <c r="K8" s="489"/>
      <c r="L8" s="505"/>
      <c r="M8" s="505"/>
      <c r="N8" s="505"/>
      <c r="O8" s="505"/>
      <c r="P8" s="505"/>
      <c r="Q8" s="505"/>
      <c r="R8" s="505"/>
      <c r="S8" s="505"/>
      <c r="T8" s="505"/>
      <c r="U8" s="505"/>
      <c r="V8" s="505"/>
      <c r="W8" s="505"/>
    </row>
    <row r="9" spans="1:23" ht="9.9499999999999993" customHeight="1">
      <c r="A9" s="505"/>
      <c r="B9" s="494"/>
      <c r="C9" s="487"/>
      <c r="D9" s="487"/>
      <c r="E9" s="487"/>
      <c r="F9" s="489"/>
      <c r="G9" s="487"/>
      <c r="H9" s="487"/>
      <c r="I9" s="487"/>
      <c r="J9" s="487"/>
      <c r="K9" s="489"/>
      <c r="L9" s="505"/>
      <c r="M9" s="505"/>
      <c r="N9" s="505"/>
      <c r="O9" s="505"/>
      <c r="P9" s="505"/>
      <c r="Q9" s="505"/>
      <c r="R9" s="505"/>
      <c r="S9" s="505"/>
      <c r="T9" s="505"/>
      <c r="U9" s="505"/>
      <c r="V9" s="505"/>
      <c r="W9" s="505"/>
    </row>
    <row r="10" spans="1:23" ht="9.9499999999999993" customHeight="1">
      <c r="A10" s="505"/>
      <c r="B10" s="494"/>
      <c r="C10" s="487"/>
      <c r="D10" s="487"/>
      <c r="E10" s="487"/>
      <c r="F10" s="489"/>
      <c r="G10" s="487"/>
      <c r="H10" s="487"/>
      <c r="I10" s="487"/>
      <c r="J10" s="487"/>
      <c r="K10" s="489"/>
      <c r="L10" s="505"/>
      <c r="M10" s="505"/>
      <c r="N10" s="505"/>
      <c r="O10" s="505"/>
      <c r="P10" s="505"/>
      <c r="Q10" s="505"/>
      <c r="R10" s="505"/>
      <c r="S10" s="505"/>
      <c r="T10" s="505"/>
      <c r="U10" s="505"/>
      <c r="V10" s="505"/>
      <c r="W10" s="505"/>
    </row>
    <row r="11" spans="1:23" ht="9.9499999999999993" customHeight="1">
      <c r="A11" s="505"/>
      <c r="B11" s="494"/>
      <c r="C11" s="487"/>
      <c r="D11" s="487"/>
      <c r="E11" s="487"/>
      <c r="F11" s="489"/>
      <c r="G11" s="487"/>
      <c r="H11" s="487"/>
      <c r="I11" s="487"/>
      <c r="J11" s="487"/>
      <c r="K11" s="489"/>
      <c r="L11" s="505"/>
      <c r="M11" s="505"/>
      <c r="N11" s="505"/>
      <c r="O11" s="505"/>
      <c r="P11" s="505"/>
      <c r="Q11" s="505"/>
      <c r="R11" s="505"/>
      <c r="S11" s="505"/>
      <c r="T11" s="505"/>
      <c r="U11" s="505"/>
      <c r="V11" s="505"/>
      <c r="W11" s="505"/>
    </row>
    <row r="12" spans="1:23" ht="9.9499999999999993" customHeight="1">
      <c r="A12" s="505"/>
      <c r="B12" s="494"/>
      <c r="C12" s="487"/>
      <c r="D12" s="487"/>
      <c r="E12" s="487"/>
      <c r="F12" s="489"/>
      <c r="G12" s="487"/>
      <c r="H12" s="487"/>
      <c r="I12" s="487"/>
      <c r="J12" s="487"/>
      <c r="K12" s="489"/>
      <c r="L12" s="505"/>
      <c r="M12" s="505"/>
      <c r="N12" s="505"/>
      <c r="O12" s="505"/>
      <c r="P12" s="505"/>
      <c r="Q12" s="505"/>
      <c r="R12" s="505"/>
      <c r="S12" s="505"/>
      <c r="T12" s="505"/>
      <c r="U12" s="505"/>
      <c r="V12" s="505"/>
      <c r="W12" s="505"/>
    </row>
    <row r="13" spans="1:23" ht="9.9499999999999993" customHeight="1">
      <c r="A13" s="505"/>
      <c r="B13" s="494"/>
      <c r="C13" s="487"/>
      <c r="D13" s="487"/>
      <c r="E13" s="487"/>
      <c r="F13" s="489"/>
      <c r="G13" s="487"/>
      <c r="H13" s="487"/>
      <c r="I13" s="487"/>
      <c r="J13" s="487"/>
      <c r="K13" s="489"/>
      <c r="L13" s="505"/>
      <c r="M13" s="505"/>
      <c r="N13" s="505"/>
      <c r="O13" s="505"/>
      <c r="P13" s="505"/>
      <c r="Q13" s="505"/>
      <c r="R13" s="505"/>
      <c r="S13" s="505"/>
      <c r="T13" s="505"/>
      <c r="U13" s="505"/>
      <c r="V13" s="505"/>
      <c r="W13" s="505"/>
    </row>
    <row r="14" spans="1:23" ht="9.9499999999999993" customHeight="1">
      <c r="A14" s="505"/>
      <c r="B14" s="494"/>
      <c r="C14" s="487"/>
      <c r="D14" s="487"/>
      <c r="E14" s="487"/>
      <c r="F14" s="489"/>
      <c r="G14" s="487"/>
      <c r="H14" s="487"/>
      <c r="I14" s="487"/>
      <c r="J14" s="487"/>
      <c r="K14" s="489"/>
      <c r="L14" s="505"/>
      <c r="M14" s="505"/>
      <c r="N14" s="505"/>
      <c r="O14" s="505"/>
      <c r="P14" s="505"/>
      <c r="Q14" s="505"/>
      <c r="R14" s="505"/>
      <c r="S14" s="505"/>
      <c r="T14" s="505"/>
      <c r="U14" s="505"/>
      <c r="V14" s="505"/>
      <c r="W14" s="505"/>
    </row>
    <row r="15" spans="1:23" ht="9.9499999999999993" customHeight="1">
      <c r="A15" s="505"/>
      <c r="B15" s="494"/>
      <c r="C15" s="487"/>
      <c r="D15" s="487"/>
      <c r="E15" s="487"/>
      <c r="F15" s="489"/>
      <c r="G15" s="487"/>
      <c r="H15" s="487"/>
      <c r="I15" s="487"/>
      <c r="J15" s="487"/>
      <c r="K15" s="489"/>
      <c r="L15" s="505"/>
      <c r="M15" s="505"/>
      <c r="N15" s="505"/>
      <c r="O15" s="505"/>
      <c r="P15" s="505"/>
      <c r="Q15" s="505"/>
      <c r="R15" s="505"/>
      <c r="S15" s="505"/>
      <c r="T15" s="505"/>
      <c r="U15" s="505"/>
      <c r="V15" s="505"/>
      <c r="W15" s="505"/>
    </row>
    <row r="16" spans="1:23" ht="9.9499999999999993" customHeight="1">
      <c r="A16" s="505"/>
      <c r="B16" s="494"/>
      <c r="C16" s="487"/>
      <c r="D16" s="487"/>
      <c r="E16" s="487"/>
      <c r="F16" s="489"/>
      <c r="G16" s="487"/>
      <c r="H16" s="487"/>
      <c r="I16" s="487"/>
      <c r="J16" s="487"/>
      <c r="K16" s="489"/>
      <c r="L16" s="505"/>
      <c r="M16" s="505"/>
      <c r="N16" s="505"/>
      <c r="O16" s="505"/>
      <c r="P16" s="505"/>
      <c r="Q16" s="505"/>
      <c r="R16" s="505"/>
      <c r="S16" s="505"/>
      <c r="T16" s="505"/>
      <c r="U16" s="505"/>
      <c r="V16" s="505"/>
      <c r="W16" s="505"/>
    </row>
    <row r="17" spans="1:23" ht="9.9499999999999993" customHeight="1">
      <c r="A17" s="505"/>
      <c r="B17" s="494"/>
      <c r="C17" s="487"/>
      <c r="D17" s="487"/>
      <c r="E17" s="487"/>
      <c r="F17" s="489"/>
      <c r="G17" s="487"/>
      <c r="H17" s="487"/>
      <c r="I17" s="487"/>
      <c r="J17" s="487"/>
      <c r="K17" s="489"/>
      <c r="L17" s="505"/>
      <c r="M17" s="505"/>
      <c r="N17" s="505"/>
      <c r="O17" s="505"/>
      <c r="P17" s="505"/>
      <c r="Q17" s="505"/>
      <c r="R17" s="505"/>
      <c r="S17" s="505"/>
      <c r="T17" s="505"/>
      <c r="U17" s="505"/>
      <c r="V17" s="505"/>
      <c r="W17" s="505"/>
    </row>
    <row r="18" spans="1:23" ht="9.9499999999999993" customHeight="1">
      <c r="A18" s="505"/>
      <c r="B18" s="494"/>
      <c r="C18" s="487"/>
      <c r="D18" s="487"/>
      <c r="E18" s="487"/>
      <c r="F18" s="489"/>
      <c r="G18" s="487"/>
      <c r="H18" s="487"/>
      <c r="I18" s="487"/>
      <c r="J18" s="487"/>
      <c r="K18" s="489"/>
      <c r="L18" s="505"/>
      <c r="M18" s="505"/>
      <c r="N18" s="505"/>
      <c r="O18" s="505"/>
      <c r="P18" s="505"/>
      <c r="Q18" s="505"/>
      <c r="R18" s="505"/>
      <c r="S18" s="505"/>
      <c r="T18" s="505"/>
      <c r="U18" s="505"/>
      <c r="V18" s="505"/>
      <c r="W18" s="505"/>
    </row>
    <row r="19" spans="1:23" ht="9.9499999999999993" customHeight="1">
      <c r="A19" s="505"/>
      <c r="B19" s="494"/>
      <c r="C19" s="487"/>
      <c r="D19" s="487"/>
      <c r="E19" s="487"/>
      <c r="F19" s="489"/>
      <c r="G19" s="487"/>
      <c r="H19" s="487"/>
      <c r="I19" s="487"/>
      <c r="J19" s="487"/>
      <c r="K19" s="489"/>
      <c r="L19" s="505"/>
      <c r="M19" s="505"/>
      <c r="N19" s="505"/>
      <c r="O19" s="505"/>
      <c r="P19" s="505"/>
      <c r="Q19" s="505"/>
      <c r="R19" s="505"/>
      <c r="S19" s="505"/>
      <c r="T19" s="505"/>
      <c r="U19" s="505"/>
      <c r="V19" s="505"/>
      <c r="W19" s="505"/>
    </row>
    <row r="20" spans="1:23" ht="9.9499999999999993" customHeight="1">
      <c r="A20" s="505"/>
      <c r="B20" s="494"/>
      <c r="C20" s="487"/>
      <c r="D20" s="487"/>
      <c r="E20" s="487"/>
      <c r="F20" s="489"/>
      <c r="G20" s="487"/>
      <c r="H20" s="487"/>
      <c r="I20" s="487"/>
      <c r="J20" s="487"/>
      <c r="K20" s="489"/>
      <c r="L20" s="505"/>
      <c r="M20" s="505"/>
      <c r="N20" s="505"/>
      <c r="O20" s="505"/>
      <c r="P20" s="505"/>
      <c r="Q20" s="505"/>
      <c r="R20" s="505"/>
      <c r="S20" s="505"/>
      <c r="T20" s="505"/>
      <c r="U20" s="505"/>
      <c r="V20" s="505"/>
      <c r="W20" s="505"/>
    </row>
    <row r="21" spans="1:23" ht="9.9499999999999993" customHeight="1">
      <c r="A21" s="505"/>
      <c r="B21" s="494"/>
      <c r="C21" s="487"/>
      <c r="D21" s="487"/>
      <c r="E21" s="487"/>
      <c r="F21" s="489"/>
      <c r="G21" s="487"/>
      <c r="H21" s="487"/>
      <c r="I21" s="487"/>
      <c r="J21" s="487"/>
      <c r="K21" s="489"/>
      <c r="L21" s="505"/>
      <c r="M21" s="505"/>
      <c r="N21" s="505"/>
      <c r="O21" s="505"/>
      <c r="P21" s="505"/>
      <c r="Q21" s="505"/>
      <c r="R21" s="505"/>
      <c r="S21" s="505"/>
      <c r="T21" s="505"/>
      <c r="U21" s="505"/>
      <c r="V21" s="505"/>
      <c r="W21" s="505"/>
    </row>
    <row r="22" spans="1:23" ht="9.9499999999999993" customHeight="1">
      <c r="A22" s="505"/>
      <c r="B22" s="494"/>
      <c r="C22" s="487"/>
      <c r="D22" s="487"/>
      <c r="E22" s="487"/>
      <c r="F22" s="489"/>
      <c r="G22" s="487"/>
      <c r="H22" s="487"/>
      <c r="I22" s="487"/>
      <c r="J22" s="487"/>
      <c r="K22" s="489"/>
      <c r="L22" s="505"/>
      <c r="M22" s="505"/>
      <c r="N22" s="505"/>
      <c r="O22" s="505"/>
      <c r="P22" s="505"/>
      <c r="Q22" s="505"/>
      <c r="R22" s="505"/>
      <c r="S22" s="505"/>
      <c r="T22" s="505"/>
      <c r="U22" s="505"/>
      <c r="V22" s="505"/>
      <c r="W22" s="505"/>
    </row>
    <row r="23" spans="1:23" ht="9.9499999999999993" customHeight="1">
      <c r="A23" s="505"/>
      <c r="B23" s="494"/>
      <c r="C23" s="487"/>
      <c r="D23" s="487"/>
      <c r="E23" s="487"/>
      <c r="F23" s="489"/>
      <c r="G23" s="487"/>
      <c r="H23" s="487"/>
      <c r="I23" s="487"/>
      <c r="J23" s="487"/>
      <c r="K23" s="489"/>
      <c r="L23" s="505"/>
      <c r="M23" s="505"/>
      <c r="N23" s="505"/>
      <c r="O23" s="505"/>
      <c r="P23" s="505"/>
      <c r="Q23" s="505"/>
      <c r="R23" s="505"/>
      <c r="S23" s="505"/>
      <c r="T23" s="505"/>
      <c r="U23" s="505"/>
      <c r="V23" s="505"/>
      <c r="W23" s="505"/>
    </row>
    <row r="24" spans="1:23" ht="9.9499999999999993" customHeight="1">
      <c r="A24" s="505"/>
      <c r="B24" s="494"/>
      <c r="C24" s="487"/>
      <c r="D24" s="487"/>
      <c r="E24" s="487"/>
      <c r="F24" s="489"/>
      <c r="G24" s="487"/>
      <c r="H24" s="487"/>
      <c r="I24" s="487"/>
      <c r="J24" s="487"/>
      <c r="K24" s="489"/>
      <c r="L24" s="505"/>
      <c r="M24" s="505"/>
      <c r="N24" s="505"/>
      <c r="O24" s="505"/>
      <c r="P24" s="505"/>
      <c r="Q24" s="505"/>
      <c r="R24" s="505"/>
      <c r="S24" s="505"/>
      <c r="T24" s="505"/>
      <c r="U24" s="505"/>
      <c r="V24" s="505"/>
      <c r="W24" s="505"/>
    </row>
    <row r="25" spans="1:23" ht="9.9499999999999993" customHeight="1">
      <c r="A25" s="505"/>
      <c r="B25" s="494"/>
      <c r="C25" s="487"/>
      <c r="D25" s="487"/>
      <c r="E25" s="487"/>
      <c r="F25" s="489"/>
      <c r="G25" s="487"/>
      <c r="H25" s="487"/>
      <c r="I25" s="487"/>
      <c r="J25" s="487"/>
      <c r="K25" s="489"/>
      <c r="L25" s="505"/>
      <c r="M25" s="505"/>
      <c r="N25" s="505"/>
      <c r="O25" s="505"/>
      <c r="P25" s="505"/>
      <c r="Q25" s="505"/>
      <c r="R25" s="505"/>
      <c r="S25" s="505"/>
      <c r="T25" s="505"/>
      <c r="U25" s="505"/>
      <c r="V25" s="505"/>
      <c r="W25" s="505"/>
    </row>
    <row r="26" spans="1:23" ht="9.9499999999999993" customHeight="1">
      <c r="A26" s="505"/>
      <c r="B26" s="494"/>
      <c r="C26" s="487"/>
      <c r="D26" s="487"/>
      <c r="E26" s="487"/>
      <c r="F26" s="489"/>
      <c r="G26" s="487"/>
      <c r="H26" s="487"/>
      <c r="I26" s="487"/>
      <c r="J26" s="487"/>
      <c r="K26" s="489"/>
      <c r="L26" s="505"/>
      <c r="M26" s="505"/>
      <c r="N26" s="505"/>
      <c r="O26" s="505"/>
      <c r="P26" s="505"/>
      <c r="Q26" s="505"/>
      <c r="R26" s="505"/>
      <c r="S26" s="505"/>
      <c r="T26" s="505"/>
      <c r="U26" s="505"/>
      <c r="V26" s="505"/>
      <c r="W26" s="505"/>
    </row>
    <row r="27" spans="1:23" ht="9.9499999999999993" customHeight="1">
      <c r="A27" s="505"/>
      <c r="B27" s="494"/>
      <c r="C27" s="487"/>
      <c r="D27" s="487"/>
      <c r="E27" s="487"/>
      <c r="F27" s="489"/>
      <c r="G27" s="487"/>
      <c r="H27" s="487"/>
      <c r="I27" s="487"/>
      <c r="J27" s="487"/>
      <c r="K27" s="489"/>
      <c r="L27" s="505"/>
      <c r="M27" s="505"/>
      <c r="N27" s="505"/>
      <c r="O27" s="505"/>
      <c r="P27" s="505"/>
      <c r="Q27" s="505"/>
      <c r="R27" s="505"/>
      <c r="S27" s="505"/>
      <c r="T27" s="505"/>
      <c r="U27" s="505"/>
      <c r="V27" s="505"/>
      <c r="W27" s="505"/>
    </row>
    <row r="28" spans="1:23" ht="9.9499999999999993" customHeight="1">
      <c r="A28" s="505"/>
      <c r="B28" s="494"/>
      <c r="C28" s="487"/>
      <c r="D28" s="487"/>
      <c r="E28" s="487"/>
      <c r="F28" s="489"/>
      <c r="G28" s="487"/>
      <c r="H28" s="487"/>
      <c r="I28" s="487"/>
      <c r="J28" s="487"/>
      <c r="K28" s="489"/>
      <c r="L28" s="505"/>
      <c r="M28" s="505"/>
      <c r="N28" s="505"/>
      <c r="O28" s="505"/>
      <c r="P28" s="505"/>
      <c r="Q28" s="505"/>
      <c r="R28" s="505"/>
      <c r="S28" s="505"/>
      <c r="T28" s="505"/>
      <c r="U28" s="505"/>
      <c r="V28" s="505"/>
      <c r="W28" s="505"/>
    </row>
    <row r="29" spans="1:23" ht="9.9499999999999993" customHeight="1">
      <c r="A29" s="505"/>
      <c r="B29" s="494"/>
      <c r="C29" s="487"/>
      <c r="D29" s="487"/>
      <c r="E29" s="487"/>
      <c r="F29" s="489"/>
      <c r="G29" s="487"/>
      <c r="H29" s="487"/>
      <c r="I29" s="487"/>
      <c r="J29" s="487"/>
      <c r="K29" s="489"/>
      <c r="L29" s="505"/>
      <c r="M29" s="505"/>
      <c r="N29" s="505"/>
      <c r="O29" s="505"/>
      <c r="P29" s="505"/>
      <c r="Q29" s="505"/>
      <c r="R29" s="505"/>
      <c r="S29" s="505"/>
      <c r="T29" s="505"/>
      <c r="U29" s="505"/>
      <c r="V29" s="505"/>
      <c r="W29" s="505"/>
    </row>
    <row r="30" spans="1:23" ht="9.9499999999999993" customHeight="1">
      <c r="A30" s="505"/>
      <c r="B30" s="494"/>
      <c r="C30" s="487"/>
      <c r="D30" s="487"/>
      <c r="E30" s="487"/>
      <c r="F30" s="489"/>
      <c r="G30" s="487"/>
      <c r="H30" s="487"/>
      <c r="I30" s="487"/>
      <c r="J30" s="487"/>
      <c r="K30" s="489"/>
      <c r="L30" s="505"/>
      <c r="M30" s="505"/>
      <c r="N30" s="505"/>
      <c r="O30" s="505"/>
      <c r="P30" s="505"/>
      <c r="Q30" s="505"/>
      <c r="R30" s="505"/>
      <c r="S30" s="505"/>
      <c r="T30" s="505"/>
      <c r="U30" s="505"/>
      <c r="V30" s="505"/>
      <c r="W30" s="505"/>
    </row>
    <row r="31" spans="1:23" ht="9.9499999999999993" customHeight="1">
      <c r="A31" s="505"/>
      <c r="B31" s="494"/>
      <c r="C31" s="487"/>
      <c r="D31" s="487"/>
      <c r="E31" s="487"/>
      <c r="F31" s="489"/>
      <c r="G31" s="487"/>
      <c r="H31" s="487"/>
      <c r="I31" s="487"/>
      <c r="J31" s="487"/>
      <c r="K31" s="489"/>
      <c r="L31" s="505"/>
      <c r="M31" s="505"/>
      <c r="N31" s="505"/>
      <c r="O31" s="505"/>
      <c r="P31" s="505"/>
      <c r="Q31" s="505"/>
      <c r="R31" s="505"/>
      <c r="S31" s="505"/>
      <c r="T31" s="505"/>
      <c r="U31" s="505"/>
      <c r="V31" s="505"/>
      <c r="W31" s="505"/>
    </row>
    <row r="32" spans="1:23" ht="9.9499999999999993" customHeight="1">
      <c r="A32" s="505"/>
      <c r="B32" s="494"/>
      <c r="C32" s="487"/>
      <c r="D32" s="487"/>
      <c r="E32" s="487"/>
      <c r="F32" s="489"/>
      <c r="G32" s="487"/>
      <c r="H32" s="487"/>
      <c r="I32" s="487"/>
      <c r="J32" s="487"/>
      <c r="K32" s="489"/>
      <c r="L32" s="505"/>
      <c r="M32" s="505"/>
      <c r="N32" s="505"/>
      <c r="O32" s="505"/>
      <c r="P32" s="505"/>
      <c r="Q32" s="505"/>
      <c r="R32" s="505"/>
      <c r="S32" s="505"/>
      <c r="T32" s="505"/>
      <c r="U32" s="505"/>
      <c r="V32" s="505"/>
      <c r="W32" s="505"/>
    </row>
    <row r="33" spans="1:23" ht="9.9499999999999993" customHeight="1">
      <c r="A33" s="505"/>
      <c r="B33" s="494"/>
      <c r="C33" s="487"/>
      <c r="D33" s="487"/>
      <c r="E33" s="487"/>
      <c r="F33" s="489"/>
      <c r="G33" s="487"/>
      <c r="H33" s="487"/>
      <c r="I33" s="487"/>
      <c r="J33" s="487"/>
      <c r="K33" s="489"/>
      <c r="L33" s="505"/>
      <c r="M33" s="505"/>
      <c r="N33" s="505"/>
      <c r="O33" s="505"/>
      <c r="P33" s="505"/>
      <c r="Q33" s="505"/>
      <c r="R33" s="505"/>
      <c r="S33" s="505"/>
      <c r="T33" s="505"/>
      <c r="U33" s="505"/>
      <c r="V33" s="505"/>
      <c r="W33" s="505"/>
    </row>
    <row r="34" spans="1:23" ht="9.9499999999999993" customHeight="1">
      <c r="A34" s="505"/>
      <c r="B34" s="494"/>
      <c r="C34" s="487"/>
      <c r="D34" s="487"/>
      <c r="E34" s="487"/>
      <c r="F34" s="489"/>
      <c r="G34" s="487"/>
      <c r="H34" s="487"/>
      <c r="I34" s="487"/>
      <c r="J34" s="487"/>
      <c r="K34" s="489"/>
      <c r="L34" s="505"/>
      <c r="M34" s="505"/>
      <c r="N34" s="505"/>
      <c r="O34" s="505"/>
      <c r="P34" s="505"/>
      <c r="Q34" s="505"/>
      <c r="R34" s="505"/>
      <c r="S34" s="505"/>
      <c r="T34" s="505"/>
      <c r="U34" s="505"/>
      <c r="V34" s="505"/>
      <c r="W34" s="505"/>
    </row>
    <row r="35" spans="1:23" ht="9.9499999999999993" customHeight="1">
      <c r="A35" s="505"/>
      <c r="B35" s="494"/>
      <c r="C35" s="487"/>
      <c r="D35" s="487"/>
      <c r="E35" s="487"/>
      <c r="F35" s="489"/>
      <c r="G35" s="487"/>
      <c r="H35" s="487"/>
      <c r="I35" s="487"/>
      <c r="J35" s="487"/>
      <c r="K35" s="489"/>
      <c r="L35" s="505"/>
      <c r="M35" s="505"/>
      <c r="N35" s="505"/>
      <c r="O35" s="505"/>
      <c r="P35" s="505"/>
      <c r="Q35" s="505"/>
      <c r="R35" s="505"/>
      <c r="S35" s="505"/>
      <c r="T35" s="505"/>
      <c r="U35" s="505"/>
      <c r="V35" s="505"/>
      <c r="W35" s="505"/>
    </row>
    <row r="36" spans="1:23" ht="9.9499999999999993" customHeight="1">
      <c r="A36" s="505"/>
      <c r="B36" s="494"/>
      <c r="C36" s="487"/>
      <c r="D36" s="487"/>
      <c r="E36" s="487"/>
      <c r="F36" s="489"/>
      <c r="G36" s="487"/>
      <c r="H36" s="487"/>
      <c r="I36" s="487"/>
      <c r="J36" s="487"/>
      <c r="K36" s="489"/>
      <c r="L36" s="505"/>
      <c r="M36" s="505"/>
      <c r="N36" s="505"/>
      <c r="O36" s="505"/>
      <c r="P36" s="505"/>
      <c r="Q36" s="505"/>
      <c r="R36" s="505"/>
      <c r="S36" s="505"/>
      <c r="T36" s="505"/>
      <c r="U36" s="505"/>
      <c r="V36" s="505"/>
      <c r="W36" s="505"/>
    </row>
    <row r="37" spans="1:23" ht="9.9499999999999993" customHeight="1">
      <c r="A37" s="505"/>
      <c r="B37" s="494"/>
      <c r="C37" s="487"/>
      <c r="D37" s="487"/>
      <c r="E37" s="487"/>
      <c r="F37" s="489"/>
      <c r="G37" s="487"/>
      <c r="H37" s="487"/>
      <c r="I37" s="487"/>
      <c r="J37" s="487"/>
      <c r="K37" s="489"/>
      <c r="L37" s="505"/>
      <c r="M37" s="505"/>
      <c r="N37" s="505"/>
      <c r="O37" s="505"/>
      <c r="P37" s="505"/>
      <c r="Q37" s="505"/>
      <c r="R37" s="505"/>
      <c r="S37" s="505"/>
      <c r="T37" s="505"/>
      <c r="U37" s="505"/>
      <c r="V37" s="505"/>
      <c r="W37" s="505"/>
    </row>
    <row r="38" spans="1:23" ht="9.9499999999999993" customHeight="1">
      <c r="A38" s="505"/>
      <c r="B38" s="494"/>
      <c r="C38" s="487"/>
      <c r="D38" s="487"/>
      <c r="E38" s="487"/>
      <c r="F38" s="489"/>
      <c r="G38" s="487"/>
      <c r="H38" s="487"/>
      <c r="I38" s="487"/>
      <c r="J38" s="487"/>
      <c r="K38" s="489"/>
      <c r="L38" s="505"/>
      <c r="M38" s="505"/>
      <c r="N38" s="505"/>
      <c r="O38" s="505"/>
      <c r="P38" s="505"/>
      <c r="Q38" s="505"/>
      <c r="R38" s="505"/>
      <c r="S38" s="505"/>
      <c r="T38" s="505"/>
      <c r="U38" s="505"/>
      <c r="V38" s="505"/>
      <c r="W38" s="505"/>
    </row>
    <row r="39" spans="1:23" ht="9.9499999999999993" customHeight="1">
      <c r="A39" s="505"/>
      <c r="B39" s="494"/>
      <c r="C39" s="487"/>
      <c r="D39" s="487"/>
      <c r="E39" s="487"/>
      <c r="F39" s="489"/>
      <c r="G39" s="487"/>
      <c r="H39" s="487"/>
      <c r="I39" s="487"/>
      <c r="J39" s="487"/>
      <c r="K39" s="489"/>
      <c r="L39" s="505"/>
      <c r="M39" s="505"/>
      <c r="N39" s="505"/>
      <c r="O39" s="505"/>
      <c r="P39" s="505"/>
      <c r="Q39" s="505"/>
      <c r="R39" s="505"/>
      <c r="S39" s="505"/>
      <c r="T39" s="505"/>
      <c r="U39" s="505"/>
      <c r="V39" s="505"/>
      <c r="W39" s="505"/>
    </row>
    <row r="40" spans="1:23" ht="9.9499999999999993" customHeight="1">
      <c r="A40" s="505"/>
      <c r="B40" s="494"/>
      <c r="C40" s="487"/>
      <c r="D40" s="487"/>
      <c r="E40" s="487"/>
      <c r="F40" s="489"/>
      <c r="G40" s="487"/>
      <c r="H40" s="487"/>
      <c r="I40" s="487"/>
      <c r="J40" s="487"/>
      <c r="K40" s="489"/>
      <c r="L40" s="505"/>
      <c r="M40" s="505"/>
      <c r="N40" s="505"/>
      <c r="O40" s="505"/>
      <c r="P40" s="505"/>
      <c r="Q40" s="505"/>
      <c r="R40" s="505"/>
      <c r="S40" s="505"/>
      <c r="T40" s="505"/>
      <c r="U40" s="505"/>
      <c r="V40" s="505"/>
      <c r="W40" s="505"/>
    </row>
    <row r="41" spans="1:23" ht="9.9499999999999993" customHeight="1">
      <c r="A41" s="505"/>
      <c r="B41" s="494"/>
      <c r="C41" s="487"/>
      <c r="D41" s="487"/>
      <c r="E41" s="487"/>
      <c r="F41" s="489"/>
      <c r="G41" s="487"/>
      <c r="H41" s="487"/>
      <c r="I41" s="487"/>
      <c r="J41" s="487"/>
      <c r="K41" s="489"/>
      <c r="L41" s="505"/>
      <c r="M41" s="505"/>
      <c r="N41" s="505"/>
      <c r="O41" s="505"/>
      <c r="P41" s="505"/>
      <c r="Q41" s="505"/>
      <c r="R41" s="505"/>
      <c r="S41" s="505"/>
      <c r="T41" s="505"/>
      <c r="U41" s="505"/>
      <c r="V41" s="505"/>
      <c r="W41" s="505"/>
    </row>
    <row r="42" spans="1:23" ht="9.9499999999999993" customHeight="1">
      <c r="A42" s="505"/>
      <c r="B42" s="494"/>
      <c r="C42" s="487"/>
      <c r="D42" s="487"/>
      <c r="E42" s="487"/>
      <c r="F42" s="489"/>
      <c r="G42" s="487"/>
      <c r="H42" s="487"/>
      <c r="I42" s="487"/>
      <c r="J42" s="487"/>
      <c r="K42" s="489"/>
      <c r="L42" s="505"/>
      <c r="M42" s="505"/>
      <c r="N42" s="505"/>
      <c r="O42" s="505"/>
      <c r="P42" s="505"/>
      <c r="Q42" s="505"/>
      <c r="R42" s="505"/>
      <c r="S42" s="505"/>
      <c r="T42" s="505"/>
      <c r="U42" s="505"/>
      <c r="V42" s="505"/>
      <c r="W42" s="505"/>
    </row>
    <row r="43" spans="1:23" ht="9.9499999999999993" customHeight="1" thickBot="1">
      <c r="A43" s="505"/>
      <c r="B43" s="495"/>
      <c r="C43" s="492"/>
      <c r="D43" s="492"/>
      <c r="E43" s="492"/>
      <c r="F43" s="496"/>
      <c r="G43" s="492"/>
      <c r="H43" s="492"/>
      <c r="I43" s="492"/>
      <c r="J43" s="492"/>
      <c r="K43" s="496"/>
      <c r="L43" s="505"/>
      <c r="M43" s="505"/>
      <c r="N43" s="505"/>
      <c r="O43" s="505"/>
      <c r="P43" s="505"/>
      <c r="Q43" s="505"/>
      <c r="R43" s="505"/>
      <c r="S43" s="505"/>
      <c r="T43" s="505"/>
      <c r="U43" s="505"/>
      <c r="V43" s="505"/>
      <c r="W43" s="505"/>
    </row>
    <row r="44" spans="1:23" ht="9.9499999999999993" customHeight="1">
      <c r="A44" s="505"/>
      <c r="B44" s="505"/>
      <c r="C44" s="505"/>
      <c r="D44" s="505"/>
      <c r="E44" s="505"/>
      <c r="F44" s="505"/>
      <c r="G44" s="505"/>
      <c r="H44" s="505"/>
      <c r="I44" s="505"/>
      <c r="J44" s="505"/>
      <c r="K44" s="505"/>
      <c r="L44" s="505"/>
      <c r="M44" s="505"/>
      <c r="N44" s="505"/>
      <c r="O44" s="505"/>
      <c r="P44" s="505"/>
      <c r="Q44" s="505"/>
      <c r="R44" s="505"/>
      <c r="S44" s="505"/>
      <c r="T44" s="505"/>
      <c r="U44" s="505"/>
      <c r="V44" s="505"/>
      <c r="W44" s="505"/>
    </row>
    <row r="45" spans="1:23" ht="9.9499999999999993" customHeight="1">
      <c r="A45" s="505"/>
      <c r="B45" s="505"/>
      <c r="C45" s="505"/>
      <c r="D45" s="505"/>
      <c r="E45" s="505"/>
      <c r="F45" s="505"/>
      <c r="G45" s="505"/>
      <c r="H45" s="505"/>
      <c r="I45" s="505"/>
      <c r="J45" s="505"/>
      <c r="K45" s="505"/>
      <c r="L45" s="505"/>
      <c r="M45" s="505"/>
      <c r="N45" s="505"/>
      <c r="O45" s="505"/>
      <c r="P45" s="505"/>
      <c r="Q45" s="505"/>
      <c r="R45" s="505"/>
      <c r="S45" s="505"/>
      <c r="T45" s="505"/>
      <c r="U45" s="505"/>
      <c r="V45" s="505"/>
      <c r="W45" s="505"/>
    </row>
    <row r="46" spans="1:23" ht="9.9499999999999993" customHeight="1">
      <c r="A46" s="505"/>
      <c r="B46" s="505"/>
      <c r="C46" s="505"/>
      <c r="D46" s="505"/>
      <c r="E46" s="505"/>
      <c r="F46" s="505"/>
      <c r="G46" s="505"/>
      <c r="H46" s="505"/>
      <c r="I46" s="505"/>
      <c r="J46" s="505"/>
      <c r="K46" s="505"/>
      <c r="L46" s="505"/>
      <c r="M46" s="505"/>
      <c r="N46" s="505"/>
      <c r="O46" s="505"/>
      <c r="P46" s="505"/>
      <c r="Q46" s="505"/>
      <c r="R46" s="505"/>
      <c r="S46" s="505"/>
      <c r="T46" s="505"/>
      <c r="U46" s="505"/>
      <c r="V46" s="505"/>
      <c r="W46" s="505"/>
    </row>
    <row r="47" spans="1:23" ht="9.9499999999999993" customHeight="1">
      <c r="A47" s="505"/>
      <c r="B47" s="505"/>
      <c r="C47" s="505"/>
      <c r="D47" s="505"/>
      <c r="E47" s="505"/>
      <c r="F47" s="505"/>
      <c r="G47" s="505"/>
      <c r="H47" s="505"/>
      <c r="I47" s="505"/>
      <c r="J47" s="505"/>
      <c r="K47" s="505"/>
      <c r="L47" s="505"/>
      <c r="M47" s="505"/>
      <c r="N47" s="505"/>
      <c r="O47" s="505"/>
      <c r="P47" s="505"/>
      <c r="Q47" s="505"/>
      <c r="R47" s="505"/>
      <c r="S47" s="505"/>
      <c r="T47" s="505"/>
      <c r="U47" s="505"/>
      <c r="V47" s="505"/>
      <c r="W47" s="505"/>
    </row>
    <row r="48" spans="1:23" ht="9.9499999999999993" customHeight="1">
      <c r="A48" s="505"/>
      <c r="B48" s="505"/>
      <c r="C48" s="505"/>
      <c r="D48" s="505"/>
      <c r="E48" s="505"/>
      <c r="F48" s="505"/>
      <c r="G48" s="505"/>
      <c r="H48" s="505"/>
      <c r="I48" s="505"/>
      <c r="J48" s="505"/>
      <c r="K48" s="505"/>
      <c r="L48" s="505"/>
      <c r="M48" s="505"/>
      <c r="N48" s="505"/>
      <c r="O48" s="505"/>
      <c r="P48" s="505"/>
      <c r="Q48" s="505"/>
      <c r="R48" s="505"/>
      <c r="S48" s="505"/>
      <c r="T48" s="505"/>
      <c r="U48" s="505"/>
      <c r="V48" s="505"/>
      <c r="W48" s="505"/>
    </row>
    <row r="49" spans="1:23" ht="9.9499999999999993" customHeight="1">
      <c r="A49" s="505"/>
      <c r="B49" s="505"/>
      <c r="C49" s="505"/>
      <c r="D49" s="505"/>
      <c r="E49" s="505"/>
      <c r="F49" s="505"/>
      <c r="G49" s="505"/>
      <c r="H49" s="505"/>
      <c r="I49" s="505"/>
      <c r="J49" s="505"/>
      <c r="K49" s="505"/>
      <c r="L49" s="505"/>
      <c r="M49" s="505"/>
      <c r="N49" s="505"/>
      <c r="O49" s="505"/>
      <c r="P49" s="505"/>
      <c r="Q49" s="505"/>
      <c r="R49" s="505"/>
      <c r="S49" s="505"/>
      <c r="T49" s="505"/>
      <c r="U49" s="505"/>
      <c r="V49" s="505"/>
      <c r="W49" s="505"/>
    </row>
    <row r="50" spans="1:23" ht="9.9499999999999993" customHeight="1">
      <c r="A50" s="505"/>
      <c r="B50" s="505"/>
      <c r="C50" s="505"/>
      <c r="D50" s="505"/>
      <c r="E50" s="505"/>
      <c r="F50" s="505"/>
      <c r="G50" s="505"/>
      <c r="H50" s="505"/>
      <c r="I50" s="505"/>
      <c r="J50" s="505"/>
      <c r="K50" s="505"/>
      <c r="L50" s="505"/>
      <c r="M50" s="505"/>
      <c r="N50" s="505"/>
      <c r="O50" s="505"/>
      <c r="P50" s="505"/>
      <c r="Q50" s="505"/>
      <c r="R50" s="505"/>
      <c r="S50" s="505"/>
      <c r="T50" s="505"/>
      <c r="U50" s="505"/>
      <c r="V50" s="505"/>
      <c r="W50" s="505"/>
    </row>
    <row r="51" spans="1:23" ht="9.9499999999999993" customHeight="1">
      <c r="A51" s="505"/>
      <c r="B51" s="505"/>
      <c r="C51" s="505"/>
      <c r="D51" s="505"/>
      <c r="E51" s="505"/>
      <c r="F51" s="505"/>
      <c r="G51" s="505"/>
      <c r="H51" s="505"/>
      <c r="I51" s="505"/>
      <c r="J51" s="505"/>
      <c r="K51" s="505"/>
      <c r="L51" s="505"/>
      <c r="M51" s="505"/>
      <c r="N51" s="505"/>
      <c r="O51" s="505"/>
      <c r="P51" s="505"/>
      <c r="Q51" s="505"/>
      <c r="R51" s="505"/>
      <c r="S51" s="505"/>
      <c r="T51" s="505"/>
      <c r="U51" s="505"/>
      <c r="V51" s="505"/>
      <c r="W51" s="505"/>
    </row>
    <row r="52" spans="1:23" ht="9.9499999999999993" customHeight="1">
      <c r="A52" s="505"/>
      <c r="B52" s="505"/>
      <c r="C52" s="505"/>
      <c r="D52" s="505"/>
      <c r="E52" s="505"/>
      <c r="F52" s="505"/>
      <c r="G52" s="505"/>
      <c r="H52" s="505"/>
      <c r="I52" s="505"/>
      <c r="J52" s="505"/>
      <c r="K52" s="505"/>
      <c r="L52" s="505"/>
      <c r="M52" s="505"/>
      <c r="N52" s="505"/>
      <c r="O52" s="505"/>
      <c r="P52" s="505"/>
      <c r="Q52" s="505"/>
      <c r="R52" s="505"/>
      <c r="S52" s="505"/>
      <c r="T52" s="505"/>
      <c r="U52" s="505"/>
      <c r="V52" s="505"/>
      <c r="W52" s="505"/>
    </row>
    <row r="53" spans="1:23" ht="9.9499999999999993" customHeight="1">
      <c r="A53" s="505"/>
      <c r="B53" s="505"/>
      <c r="C53" s="505"/>
      <c r="D53" s="505"/>
      <c r="E53" s="505"/>
      <c r="F53" s="505"/>
      <c r="G53" s="505"/>
      <c r="H53" s="505"/>
      <c r="I53" s="505"/>
      <c r="J53" s="505"/>
      <c r="K53" s="505"/>
      <c r="L53" s="505"/>
      <c r="M53" s="505"/>
      <c r="N53" s="505"/>
      <c r="O53" s="505"/>
      <c r="P53" s="505"/>
      <c r="Q53" s="505"/>
      <c r="R53" s="505"/>
      <c r="S53" s="505"/>
      <c r="T53" s="505"/>
      <c r="U53" s="505"/>
      <c r="V53" s="505"/>
      <c r="W53" s="505"/>
    </row>
    <row r="54" spans="1:23" ht="9.9499999999999993" customHeight="1">
      <c r="A54" s="505"/>
      <c r="B54" s="505"/>
      <c r="C54" s="505"/>
      <c r="D54" s="505"/>
      <c r="E54" s="505"/>
      <c r="F54" s="505"/>
      <c r="G54" s="505"/>
      <c r="H54" s="505"/>
      <c r="I54" s="505"/>
      <c r="J54" s="505"/>
      <c r="K54" s="505"/>
      <c r="L54" s="505"/>
      <c r="M54" s="505"/>
      <c r="N54" s="505"/>
      <c r="O54" s="505"/>
      <c r="P54" s="505"/>
      <c r="Q54" s="505"/>
      <c r="R54" s="505"/>
      <c r="S54" s="505"/>
      <c r="T54" s="505"/>
      <c r="U54" s="505"/>
      <c r="V54" s="505"/>
      <c r="W54" s="505"/>
    </row>
    <row r="55" spans="1:23" ht="9.9499999999999993"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row>
    <row r="56" spans="1:23" ht="9.9499999999999993" customHeight="1">
      <c r="A56" s="505"/>
      <c r="B56" s="505"/>
      <c r="C56" s="505"/>
      <c r="D56" s="505"/>
      <c r="E56" s="505"/>
      <c r="F56" s="505"/>
      <c r="G56" s="505"/>
      <c r="H56" s="505"/>
      <c r="I56" s="505"/>
      <c r="J56" s="505"/>
      <c r="K56" s="505"/>
      <c r="L56" s="505"/>
      <c r="M56" s="505"/>
      <c r="N56" s="505"/>
      <c r="O56" s="505"/>
      <c r="P56" s="505"/>
      <c r="Q56" s="505"/>
      <c r="R56" s="505"/>
      <c r="S56" s="505"/>
      <c r="T56" s="505"/>
      <c r="U56" s="505"/>
      <c r="V56" s="505"/>
      <c r="W56" s="505"/>
    </row>
    <row r="57" spans="1:23" ht="9.9499999999999993" customHeight="1">
      <c r="A57" s="505"/>
      <c r="B57" s="505"/>
      <c r="C57" s="505"/>
      <c r="D57" s="505"/>
      <c r="E57" s="505"/>
      <c r="F57" s="505"/>
      <c r="G57" s="505"/>
      <c r="H57" s="505"/>
      <c r="I57" s="505"/>
      <c r="J57" s="505"/>
      <c r="K57" s="505"/>
      <c r="L57" s="505"/>
      <c r="M57" s="505"/>
      <c r="N57" s="505"/>
      <c r="O57" s="505"/>
      <c r="P57" s="505"/>
      <c r="Q57" s="505"/>
      <c r="R57" s="505"/>
      <c r="S57" s="505"/>
      <c r="T57" s="505"/>
      <c r="U57" s="505"/>
      <c r="V57" s="505"/>
      <c r="W57" s="505"/>
    </row>
    <row r="58" spans="1:23" ht="9.9499999999999993" customHeight="1">
      <c r="A58" s="505"/>
      <c r="B58" s="505"/>
      <c r="C58" s="505"/>
      <c r="D58" s="505"/>
      <c r="E58" s="505"/>
      <c r="F58" s="505"/>
      <c r="G58" s="505"/>
      <c r="H58" s="505"/>
      <c r="I58" s="505"/>
      <c r="J58" s="505"/>
      <c r="K58" s="505"/>
      <c r="L58" s="505"/>
      <c r="M58" s="505"/>
      <c r="N58" s="505"/>
      <c r="O58" s="505"/>
      <c r="P58" s="505"/>
      <c r="Q58" s="505"/>
      <c r="R58" s="505"/>
      <c r="S58" s="505"/>
      <c r="T58" s="505"/>
      <c r="U58" s="505"/>
      <c r="V58" s="505"/>
      <c r="W58" s="505"/>
    </row>
    <row r="59" spans="1:23" ht="9.9499999999999993" customHeight="1">
      <c r="A59" s="505"/>
      <c r="B59" s="505"/>
      <c r="C59" s="505"/>
      <c r="D59" s="505"/>
      <c r="E59" s="505"/>
      <c r="F59" s="505"/>
      <c r="G59" s="505"/>
      <c r="H59" s="505"/>
      <c r="I59" s="505"/>
      <c r="J59" s="505"/>
      <c r="K59" s="505"/>
      <c r="L59" s="505"/>
      <c r="M59" s="505"/>
      <c r="N59" s="505"/>
      <c r="O59" s="505"/>
      <c r="P59" s="505"/>
      <c r="Q59" s="505"/>
      <c r="R59" s="505"/>
      <c r="S59" s="505"/>
      <c r="T59" s="505"/>
      <c r="U59" s="505"/>
      <c r="V59" s="505"/>
      <c r="W59" s="505"/>
    </row>
    <row r="60" spans="1:23" ht="9.9499999999999993" customHeight="1">
      <c r="A60" s="505"/>
      <c r="B60" s="505"/>
      <c r="C60" s="505"/>
      <c r="D60" s="505"/>
      <c r="E60" s="505"/>
      <c r="F60" s="505"/>
      <c r="G60" s="505"/>
      <c r="H60" s="505"/>
      <c r="I60" s="505"/>
      <c r="J60" s="505"/>
      <c r="K60" s="505"/>
      <c r="L60" s="505"/>
      <c r="M60" s="505"/>
      <c r="N60" s="505"/>
      <c r="O60" s="505"/>
      <c r="P60" s="505"/>
      <c r="Q60" s="505"/>
      <c r="R60" s="505"/>
      <c r="S60" s="505"/>
      <c r="T60" s="505"/>
      <c r="U60" s="505"/>
      <c r="V60" s="505"/>
      <c r="W60" s="505"/>
    </row>
    <row r="61" spans="1:23" ht="9.9499999999999993" customHeight="1">
      <c r="A61" s="505"/>
      <c r="B61" s="505"/>
      <c r="C61" s="505"/>
      <c r="D61" s="505"/>
      <c r="E61" s="505"/>
      <c r="F61" s="505"/>
      <c r="G61" s="505"/>
      <c r="H61" s="505"/>
      <c r="I61" s="505"/>
      <c r="J61" s="505"/>
      <c r="K61" s="505"/>
      <c r="L61" s="505"/>
      <c r="M61" s="505"/>
      <c r="N61" s="505"/>
      <c r="O61" s="505"/>
      <c r="P61" s="505"/>
      <c r="Q61" s="505"/>
      <c r="R61" s="505"/>
      <c r="S61" s="505"/>
      <c r="T61" s="505"/>
      <c r="U61" s="505"/>
      <c r="V61" s="505"/>
      <c r="W61" s="505"/>
    </row>
    <row r="62" spans="1:23" ht="9.9499999999999993" customHeight="1">
      <c r="A62" s="505"/>
      <c r="B62" s="505"/>
      <c r="C62" s="505"/>
      <c r="D62" s="505"/>
      <c r="E62" s="505"/>
      <c r="F62" s="505"/>
      <c r="G62" s="505"/>
      <c r="H62" s="505"/>
      <c r="I62" s="505"/>
      <c r="J62" s="505"/>
      <c r="K62" s="505"/>
      <c r="L62" s="505"/>
      <c r="M62" s="505"/>
      <c r="N62" s="505"/>
      <c r="O62" s="505"/>
      <c r="P62" s="505"/>
      <c r="Q62" s="505"/>
      <c r="R62" s="505"/>
      <c r="S62" s="505"/>
      <c r="T62" s="505"/>
      <c r="U62" s="505"/>
      <c r="V62" s="505"/>
      <c r="W62" s="505"/>
    </row>
    <row r="63" spans="1:23" ht="9.9499999999999993" customHeight="1">
      <c r="A63" s="505"/>
      <c r="B63" s="505"/>
      <c r="C63" s="505"/>
      <c r="D63" s="505"/>
      <c r="E63" s="505"/>
      <c r="F63" s="505"/>
      <c r="G63" s="505"/>
      <c r="H63" s="505"/>
      <c r="I63" s="505"/>
      <c r="J63" s="505"/>
      <c r="K63" s="505"/>
      <c r="L63" s="505"/>
      <c r="M63" s="505"/>
      <c r="N63" s="505"/>
      <c r="O63" s="505"/>
      <c r="P63" s="505"/>
      <c r="Q63" s="505"/>
      <c r="R63" s="505"/>
      <c r="S63" s="505"/>
      <c r="T63" s="505"/>
      <c r="U63" s="505"/>
      <c r="V63" s="505"/>
      <c r="W63" s="505"/>
    </row>
    <row r="64" spans="1:23" ht="9.9499999999999993" customHeight="1">
      <c r="A64" s="505"/>
      <c r="B64" s="505"/>
      <c r="C64" s="505"/>
      <c r="D64" s="505"/>
      <c r="E64" s="505"/>
      <c r="F64" s="505"/>
      <c r="G64" s="505"/>
      <c r="H64" s="505"/>
      <c r="I64" s="505"/>
      <c r="J64" s="505"/>
      <c r="K64" s="505"/>
      <c r="L64" s="505"/>
      <c r="M64" s="505"/>
      <c r="N64" s="505"/>
      <c r="O64" s="505"/>
      <c r="P64" s="505"/>
      <c r="Q64" s="505"/>
      <c r="R64" s="505"/>
      <c r="S64" s="505"/>
      <c r="T64" s="505"/>
      <c r="U64" s="505"/>
      <c r="V64" s="505"/>
      <c r="W64" s="505"/>
    </row>
    <row r="65" spans="1:23" ht="9.9499999999999993" customHeight="1">
      <c r="A65" s="505"/>
      <c r="B65" s="505"/>
      <c r="C65" s="505"/>
      <c r="D65" s="505"/>
      <c r="E65" s="505"/>
      <c r="F65" s="505"/>
      <c r="G65" s="505"/>
      <c r="H65" s="505"/>
      <c r="I65" s="505"/>
      <c r="J65" s="505"/>
      <c r="K65" s="505"/>
      <c r="L65" s="505"/>
      <c r="M65" s="505"/>
      <c r="N65" s="505"/>
      <c r="O65" s="505"/>
      <c r="P65" s="505"/>
      <c r="Q65" s="505"/>
      <c r="R65" s="505"/>
      <c r="S65" s="505"/>
      <c r="T65" s="505"/>
      <c r="U65" s="505"/>
      <c r="V65" s="505"/>
      <c r="W65" s="505"/>
    </row>
    <row r="66" spans="1:23" ht="9.9499999999999993" customHeight="1">
      <c r="A66" s="505"/>
      <c r="B66" s="505"/>
      <c r="C66" s="505"/>
      <c r="D66" s="505"/>
      <c r="E66" s="505"/>
      <c r="F66" s="505"/>
      <c r="G66" s="505"/>
      <c r="H66" s="505"/>
      <c r="I66" s="505"/>
      <c r="J66" s="505"/>
      <c r="K66" s="505"/>
      <c r="L66" s="505"/>
      <c r="M66" s="505"/>
      <c r="N66" s="505"/>
      <c r="O66" s="505"/>
      <c r="P66" s="505"/>
      <c r="Q66" s="505"/>
      <c r="R66" s="505"/>
      <c r="S66" s="505"/>
      <c r="T66" s="505"/>
      <c r="U66" s="505"/>
      <c r="V66" s="505"/>
      <c r="W66" s="505"/>
    </row>
    <row r="67" spans="1:23" ht="9.9499999999999993" customHeight="1">
      <c r="A67" s="505"/>
      <c r="B67" s="505"/>
      <c r="C67" s="505"/>
      <c r="D67" s="505"/>
      <c r="E67" s="505"/>
      <c r="F67" s="505"/>
      <c r="G67" s="505"/>
      <c r="H67" s="505"/>
      <c r="I67" s="505"/>
      <c r="J67" s="505"/>
      <c r="K67" s="505"/>
      <c r="L67" s="505"/>
      <c r="M67" s="505"/>
      <c r="N67" s="505"/>
      <c r="O67" s="505"/>
      <c r="P67" s="505"/>
      <c r="Q67" s="505"/>
      <c r="R67" s="505"/>
      <c r="S67" s="505"/>
      <c r="T67" s="505"/>
      <c r="U67" s="505"/>
      <c r="V67" s="505"/>
      <c r="W67" s="505"/>
    </row>
    <row r="68" spans="1:23" ht="9.9499999999999993" customHeight="1">
      <c r="A68" s="505"/>
      <c r="B68" s="505"/>
      <c r="C68" s="505"/>
      <c r="D68" s="505"/>
      <c r="E68" s="505"/>
      <c r="F68" s="505"/>
      <c r="G68" s="505"/>
      <c r="H68" s="505"/>
      <c r="I68" s="505"/>
      <c r="J68" s="505"/>
      <c r="K68" s="505"/>
      <c r="L68" s="505"/>
      <c r="M68" s="505"/>
      <c r="N68" s="505"/>
      <c r="O68" s="505"/>
      <c r="P68" s="505"/>
      <c r="Q68" s="505"/>
      <c r="R68" s="505"/>
      <c r="S68" s="505"/>
      <c r="T68" s="505"/>
      <c r="U68" s="505"/>
      <c r="V68" s="505"/>
      <c r="W68" s="505"/>
    </row>
    <row r="69" spans="1:23" ht="9.9499999999999993" customHeight="1">
      <c r="A69" s="505"/>
      <c r="B69" s="505"/>
      <c r="C69" s="505"/>
      <c r="D69" s="505"/>
      <c r="E69" s="505"/>
      <c r="F69" s="505"/>
      <c r="G69" s="505"/>
      <c r="H69" s="505"/>
      <c r="I69" s="505"/>
      <c r="J69" s="505"/>
      <c r="K69" s="505"/>
      <c r="L69" s="505"/>
      <c r="M69" s="505"/>
      <c r="N69" s="505"/>
      <c r="O69" s="505"/>
      <c r="P69" s="505"/>
      <c r="Q69" s="505"/>
      <c r="R69" s="505"/>
      <c r="S69" s="505"/>
      <c r="T69" s="505"/>
      <c r="U69" s="505"/>
      <c r="V69" s="505"/>
      <c r="W69" s="505"/>
    </row>
    <row r="70" spans="1:23" ht="9.9499999999999993" customHeight="1">
      <c r="A70" s="505"/>
      <c r="B70" s="505"/>
      <c r="C70" s="505"/>
      <c r="D70" s="505"/>
      <c r="E70" s="505"/>
      <c r="F70" s="505"/>
      <c r="G70" s="505"/>
      <c r="H70" s="505"/>
      <c r="I70" s="505"/>
      <c r="J70" s="505"/>
      <c r="K70" s="505"/>
      <c r="L70" s="505"/>
      <c r="M70" s="505"/>
      <c r="N70" s="505"/>
      <c r="O70" s="505"/>
      <c r="P70" s="505"/>
      <c r="Q70" s="505"/>
      <c r="R70" s="505"/>
      <c r="S70" s="505"/>
      <c r="T70" s="505"/>
      <c r="U70" s="505"/>
      <c r="V70" s="505"/>
      <c r="W70" s="505"/>
    </row>
    <row r="71" spans="1:23" ht="9.9499999999999993" customHeight="1">
      <c r="A71" s="505"/>
      <c r="B71" s="505"/>
      <c r="C71" s="505"/>
      <c r="D71" s="505"/>
      <c r="E71" s="505"/>
      <c r="F71" s="505"/>
      <c r="G71" s="505"/>
      <c r="H71" s="505"/>
      <c r="I71" s="505"/>
      <c r="J71" s="505"/>
      <c r="K71" s="505"/>
      <c r="L71" s="505"/>
      <c r="M71" s="505"/>
      <c r="N71" s="505"/>
      <c r="O71" s="505"/>
      <c r="P71" s="505"/>
      <c r="Q71" s="505"/>
      <c r="R71" s="505"/>
      <c r="S71" s="505"/>
      <c r="T71" s="505"/>
      <c r="U71" s="505"/>
      <c r="V71" s="505"/>
      <c r="W71" s="505"/>
    </row>
    <row r="72" spans="1:23" ht="9.9499999999999993" customHeight="1">
      <c r="A72" s="505"/>
      <c r="B72" s="505"/>
      <c r="C72" s="505"/>
      <c r="D72" s="505"/>
      <c r="E72" s="505"/>
      <c r="F72" s="505"/>
      <c r="G72" s="505"/>
      <c r="H72" s="505"/>
      <c r="I72" s="505"/>
      <c r="J72" s="505"/>
      <c r="K72" s="505"/>
      <c r="L72" s="505"/>
      <c r="M72" s="505"/>
      <c r="N72" s="505"/>
      <c r="O72" s="505"/>
      <c r="P72" s="505"/>
      <c r="Q72" s="505"/>
      <c r="R72" s="505"/>
      <c r="S72" s="505"/>
      <c r="T72" s="505"/>
      <c r="U72" s="505"/>
      <c r="V72" s="505"/>
      <c r="W72" s="505"/>
    </row>
    <row r="73" spans="1:23" ht="9.9499999999999993" customHeight="1">
      <c r="A73" s="505"/>
      <c r="B73" s="505"/>
      <c r="C73" s="505"/>
      <c r="D73" s="505"/>
      <c r="E73" s="505"/>
      <c r="F73" s="505"/>
      <c r="G73" s="505"/>
      <c r="H73" s="505"/>
      <c r="I73" s="505"/>
      <c r="J73" s="505"/>
      <c r="K73" s="505"/>
      <c r="L73" s="505"/>
      <c r="M73" s="505"/>
      <c r="N73" s="505"/>
      <c r="O73" s="505"/>
      <c r="P73" s="505"/>
      <c r="Q73" s="505"/>
      <c r="R73" s="505"/>
      <c r="S73" s="505"/>
      <c r="T73" s="505"/>
      <c r="U73" s="505"/>
      <c r="V73" s="505"/>
      <c r="W73" s="505"/>
    </row>
    <row r="74" spans="1:23" ht="9.9499999999999993" customHeight="1">
      <c r="A74" s="505"/>
      <c r="B74" s="505"/>
      <c r="C74" s="505"/>
      <c r="D74" s="505"/>
      <c r="E74" s="505"/>
      <c r="F74" s="505"/>
      <c r="G74" s="505"/>
      <c r="H74" s="505"/>
      <c r="I74" s="505"/>
      <c r="J74" s="505"/>
      <c r="K74" s="505"/>
      <c r="L74" s="505"/>
      <c r="M74" s="505"/>
      <c r="N74" s="505"/>
      <c r="O74" s="505"/>
      <c r="P74" s="505"/>
      <c r="Q74" s="505"/>
      <c r="R74" s="505"/>
      <c r="S74" s="505"/>
      <c r="T74" s="505"/>
      <c r="U74" s="505"/>
      <c r="V74" s="505"/>
      <c r="W74" s="505"/>
    </row>
    <row r="75" spans="1:23" ht="9.9499999999999993" customHeight="1">
      <c r="A75" s="505"/>
      <c r="B75" s="505"/>
      <c r="C75" s="505"/>
      <c r="D75" s="505"/>
      <c r="E75" s="505"/>
      <c r="F75" s="505"/>
      <c r="G75" s="505"/>
      <c r="H75" s="505"/>
      <c r="I75" s="505"/>
      <c r="J75" s="505"/>
      <c r="K75" s="505"/>
      <c r="L75" s="505"/>
      <c r="M75" s="505"/>
      <c r="N75" s="505"/>
      <c r="O75" s="505"/>
      <c r="P75" s="505"/>
      <c r="Q75" s="505"/>
      <c r="R75" s="505"/>
      <c r="S75" s="505"/>
      <c r="T75" s="505"/>
      <c r="U75" s="505"/>
      <c r="V75" s="505"/>
      <c r="W75" s="505"/>
    </row>
    <row r="76" spans="1:23" ht="9.9499999999999993" customHeight="1">
      <c r="A76" s="505"/>
      <c r="B76" s="505"/>
      <c r="C76" s="505"/>
      <c r="D76" s="505"/>
      <c r="E76" s="505"/>
      <c r="F76" s="505"/>
      <c r="G76" s="505"/>
      <c r="H76" s="505"/>
      <c r="I76" s="505"/>
      <c r="J76" s="505"/>
      <c r="K76" s="505"/>
      <c r="L76" s="505"/>
      <c r="M76" s="505"/>
      <c r="N76" s="505"/>
      <c r="O76" s="505"/>
      <c r="P76" s="505"/>
      <c r="Q76" s="505"/>
      <c r="R76" s="505"/>
      <c r="S76" s="505"/>
      <c r="T76" s="505"/>
      <c r="U76" s="505"/>
      <c r="V76" s="505"/>
      <c r="W76" s="505"/>
    </row>
    <row r="77" spans="1:23" ht="9.9499999999999993" customHeight="1">
      <c r="A77" s="505"/>
      <c r="B77" s="505"/>
      <c r="C77" s="505"/>
      <c r="D77" s="505"/>
      <c r="E77" s="505"/>
      <c r="F77" s="505"/>
      <c r="G77" s="505"/>
      <c r="H77" s="505"/>
      <c r="I77" s="505"/>
      <c r="J77" s="505"/>
      <c r="K77" s="505"/>
      <c r="L77" s="505"/>
      <c r="M77" s="505"/>
      <c r="N77" s="505"/>
      <c r="O77" s="505"/>
      <c r="P77" s="505"/>
      <c r="Q77" s="505"/>
      <c r="R77" s="505"/>
      <c r="S77" s="505"/>
      <c r="T77" s="505"/>
      <c r="U77" s="505"/>
      <c r="V77" s="505"/>
      <c r="W77" s="505"/>
    </row>
    <row r="78" spans="1:23" ht="9.9499999999999993" customHeight="1">
      <c r="A78" s="505"/>
      <c r="B78" s="505"/>
      <c r="C78" s="505"/>
      <c r="D78" s="505"/>
      <c r="E78" s="505"/>
      <c r="F78" s="505"/>
      <c r="G78" s="505"/>
      <c r="H78" s="505"/>
      <c r="I78" s="505"/>
      <c r="J78" s="505"/>
      <c r="K78" s="505"/>
      <c r="L78" s="505"/>
      <c r="M78" s="505"/>
      <c r="N78" s="505"/>
      <c r="O78" s="505"/>
      <c r="P78" s="505"/>
      <c r="Q78" s="505"/>
      <c r="R78" s="505"/>
      <c r="S78" s="505"/>
      <c r="T78" s="505"/>
      <c r="U78" s="505"/>
      <c r="V78" s="505"/>
      <c r="W78" s="505"/>
    </row>
    <row r="79" spans="1:23" ht="9.9499999999999993" customHeight="1">
      <c r="A79" s="505"/>
      <c r="B79" s="505"/>
      <c r="C79" s="505"/>
      <c r="D79" s="505"/>
      <c r="E79" s="505"/>
      <c r="F79" s="505"/>
      <c r="G79" s="505"/>
      <c r="H79" s="505"/>
      <c r="I79" s="505"/>
      <c r="J79" s="505"/>
      <c r="K79" s="505"/>
      <c r="L79" s="505"/>
      <c r="M79" s="505"/>
      <c r="N79" s="505"/>
      <c r="O79" s="505"/>
      <c r="P79" s="505"/>
      <c r="Q79" s="505"/>
      <c r="R79" s="505"/>
      <c r="S79" s="505"/>
      <c r="T79" s="505"/>
      <c r="U79" s="505"/>
      <c r="V79" s="505"/>
      <c r="W79" s="505"/>
    </row>
    <row r="80" spans="1:23" ht="9.9499999999999993" customHeight="1">
      <c r="A80" s="505"/>
      <c r="B80" s="505"/>
      <c r="C80" s="505"/>
      <c r="D80" s="505"/>
      <c r="E80" s="505"/>
      <c r="F80" s="505"/>
      <c r="G80" s="505"/>
      <c r="H80" s="505"/>
      <c r="I80" s="505"/>
      <c r="J80" s="505"/>
      <c r="K80" s="505"/>
      <c r="L80" s="505"/>
      <c r="M80" s="505"/>
      <c r="N80" s="505"/>
      <c r="O80" s="505"/>
      <c r="P80" s="505"/>
      <c r="Q80" s="505"/>
      <c r="R80" s="505"/>
      <c r="S80" s="505"/>
      <c r="T80" s="505"/>
      <c r="U80" s="505"/>
      <c r="V80" s="505"/>
      <c r="W80" s="505"/>
    </row>
    <row r="81" spans="1:23" ht="9.9499999999999993" customHeight="1">
      <c r="A81" s="505"/>
      <c r="B81" s="505"/>
      <c r="C81" s="505"/>
      <c r="D81" s="505"/>
      <c r="E81" s="505"/>
      <c r="F81" s="505"/>
      <c r="G81" s="505"/>
      <c r="H81" s="505"/>
      <c r="I81" s="505"/>
      <c r="J81" s="505"/>
      <c r="K81" s="505"/>
      <c r="L81" s="505"/>
      <c r="M81" s="505"/>
      <c r="N81" s="505"/>
      <c r="O81" s="505"/>
      <c r="P81" s="505"/>
      <c r="Q81" s="505"/>
      <c r="R81" s="505"/>
      <c r="S81" s="505"/>
      <c r="T81" s="505"/>
      <c r="U81" s="505"/>
      <c r="V81" s="505"/>
      <c r="W81" s="505"/>
    </row>
    <row r="82" spans="1:23" ht="9.9499999999999993" customHeight="1">
      <c r="A82" s="505"/>
      <c r="B82" s="505"/>
      <c r="C82" s="505"/>
      <c r="D82" s="505"/>
      <c r="E82" s="505"/>
      <c r="F82" s="505"/>
      <c r="G82" s="505"/>
      <c r="H82" s="505"/>
      <c r="I82" s="505"/>
      <c r="J82" s="505"/>
      <c r="K82" s="505"/>
      <c r="L82" s="505"/>
      <c r="M82" s="505"/>
      <c r="N82" s="505"/>
      <c r="O82" s="505"/>
      <c r="P82" s="505"/>
      <c r="Q82" s="505"/>
      <c r="R82" s="505"/>
      <c r="S82" s="505"/>
      <c r="T82" s="505"/>
      <c r="U82" s="505"/>
      <c r="V82" s="505"/>
      <c r="W82" s="505"/>
    </row>
    <row r="83" spans="1:23" ht="9.9499999999999993" customHeight="1">
      <c r="A83" s="505"/>
      <c r="B83" s="505"/>
      <c r="C83" s="505"/>
      <c r="D83" s="505"/>
      <c r="E83" s="505"/>
      <c r="F83" s="505"/>
      <c r="G83" s="505"/>
      <c r="H83" s="505"/>
      <c r="I83" s="505"/>
      <c r="J83" s="505"/>
      <c r="K83" s="505"/>
      <c r="L83" s="505"/>
      <c r="M83" s="505"/>
      <c r="N83" s="505"/>
      <c r="O83" s="505"/>
      <c r="P83" s="505"/>
      <c r="Q83" s="505"/>
      <c r="R83" s="505"/>
      <c r="S83" s="505"/>
      <c r="T83" s="505"/>
      <c r="U83" s="505"/>
      <c r="V83" s="505"/>
      <c r="W83" s="505"/>
    </row>
    <row r="84" spans="1:23" ht="9.9499999999999993" customHeight="1">
      <c r="A84" s="505"/>
      <c r="B84" s="505"/>
      <c r="C84" s="505"/>
      <c r="D84" s="505"/>
      <c r="E84" s="505"/>
      <c r="F84" s="505"/>
      <c r="G84" s="505"/>
      <c r="H84" s="505"/>
      <c r="I84" s="505"/>
      <c r="J84" s="505"/>
      <c r="K84" s="505"/>
      <c r="L84" s="505"/>
      <c r="M84" s="505"/>
      <c r="N84" s="505"/>
      <c r="O84" s="505"/>
      <c r="P84" s="505"/>
      <c r="Q84" s="505"/>
      <c r="R84" s="505"/>
      <c r="S84" s="505"/>
      <c r="T84" s="505"/>
      <c r="U84" s="505"/>
      <c r="V84" s="505"/>
      <c r="W84" s="505"/>
    </row>
    <row r="85" spans="1:23" ht="9.9499999999999993" customHeight="1">
      <c r="A85" s="505"/>
      <c r="B85" s="505"/>
      <c r="C85" s="505"/>
      <c r="D85" s="505"/>
      <c r="E85" s="505"/>
      <c r="F85" s="505"/>
      <c r="G85" s="505"/>
      <c r="H85" s="505"/>
      <c r="I85" s="505"/>
      <c r="J85" s="505"/>
      <c r="K85" s="505"/>
      <c r="L85" s="505"/>
      <c r="M85" s="505"/>
      <c r="N85" s="505"/>
      <c r="O85" s="505"/>
      <c r="P85" s="505"/>
      <c r="Q85" s="505"/>
      <c r="R85" s="505"/>
      <c r="S85" s="505"/>
      <c r="T85" s="505"/>
      <c r="U85" s="505"/>
      <c r="V85" s="505"/>
      <c r="W85" s="505"/>
    </row>
    <row r="86" spans="1:23" ht="9.9499999999999993" customHeight="1">
      <c r="A86" s="505"/>
      <c r="B86" s="505"/>
      <c r="C86" s="505"/>
      <c r="D86" s="505"/>
      <c r="E86" s="505"/>
      <c r="F86" s="505"/>
      <c r="G86" s="505"/>
      <c r="H86" s="505"/>
      <c r="I86" s="505"/>
      <c r="J86" s="505"/>
      <c r="K86" s="505"/>
      <c r="L86" s="505"/>
      <c r="M86" s="505"/>
      <c r="N86" s="505"/>
      <c r="O86" s="505"/>
      <c r="P86" s="505"/>
      <c r="Q86" s="505"/>
      <c r="R86" s="505"/>
      <c r="S86" s="505"/>
      <c r="T86" s="505"/>
      <c r="U86" s="505"/>
      <c r="V86" s="505"/>
      <c r="W86" s="505"/>
    </row>
    <row r="87" spans="1:23" ht="9.9499999999999993" customHeight="1">
      <c r="A87" s="505"/>
      <c r="B87" s="505"/>
      <c r="C87" s="505"/>
      <c r="D87" s="505"/>
      <c r="E87" s="505"/>
      <c r="F87" s="505"/>
      <c r="G87" s="505"/>
      <c r="H87" s="505"/>
      <c r="I87" s="505"/>
      <c r="J87" s="505"/>
      <c r="K87" s="505"/>
      <c r="L87" s="505"/>
      <c r="M87" s="505"/>
      <c r="N87" s="505"/>
      <c r="O87" s="505"/>
      <c r="P87" s="505"/>
      <c r="Q87" s="505"/>
      <c r="R87" s="505"/>
      <c r="S87" s="505"/>
      <c r="T87" s="505"/>
      <c r="U87" s="505"/>
      <c r="V87" s="505"/>
      <c r="W87" s="505"/>
    </row>
    <row r="88" spans="1:23" ht="9.9499999999999993" customHeight="1">
      <c r="A88" s="505"/>
      <c r="B88" s="505"/>
      <c r="C88" s="505"/>
      <c r="D88" s="505"/>
      <c r="E88" s="505"/>
      <c r="F88" s="505"/>
      <c r="G88" s="505"/>
      <c r="H88" s="505"/>
      <c r="I88" s="505"/>
      <c r="J88" s="505"/>
      <c r="K88" s="505"/>
      <c r="L88" s="505"/>
      <c r="M88" s="505"/>
      <c r="N88" s="505"/>
      <c r="O88" s="505"/>
      <c r="P88" s="505"/>
      <c r="Q88" s="505"/>
      <c r="R88" s="505"/>
      <c r="S88" s="505"/>
      <c r="T88" s="505"/>
      <c r="U88" s="505"/>
      <c r="V88" s="505"/>
      <c r="W88" s="505"/>
    </row>
    <row r="89" spans="1:23" ht="9.9499999999999993" customHeight="1">
      <c r="A89" s="505"/>
      <c r="B89" s="505"/>
      <c r="C89" s="505"/>
      <c r="D89" s="505"/>
      <c r="E89" s="505"/>
      <c r="F89" s="505"/>
      <c r="G89" s="505"/>
      <c r="H89" s="505"/>
      <c r="I89" s="505"/>
      <c r="J89" s="505"/>
      <c r="K89" s="505"/>
      <c r="L89" s="505"/>
      <c r="M89" s="505"/>
      <c r="N89" s="505"/>
      <c r="O89" s="505"/>
      <c r="P89" s="505"/>
      <c r="Q89" s="505"/>
      <c r="R89" s="505"/>
      <c r="S89" s="505"/>
      <c r="T89" s="505"/>
      <c r="U89" s="505"/>
      <c r="V89" s="505"/>
      <c r="W89" s="505"/>
    </row>
    <row r="90" spans="1:23" ht="9.9499999999999993" customHeight="1">
      <c r="A90" s="505"/>
      <c r="B90" s="505"/>
      <c r="C90" s="505"/>
      <c r="D90" s="505"/>
      <c r="E90" s="505"/>
      <c r="F90" s="505"/>
      <c r="G90" s="505"/>
      <c r="H90" s="505"/>
      <c r="I90" s="505"/>
      <c r="J90" s="505"/>
      <c r="K90" s="505"/>
      <c r="L90" s="505"/>
      <c r="M90" s="505"/>
      <c r="N90" s="505"/>
      <c r="O90" s="505"/>
      <c r="P90" s="505"/>
      <c r="Q90" s="505"/>
      <c r="R90" s="505"/>
      <c r="S90" s="505"/>
      <c r="T90" s="505"/>
      <c r="U90" s="505"/>
      <c r="V90" s="505"/>
      <c r="W90" s="505"/>
    </row>
    <row r="91" spans="1:23" ht="9.9499999999999993" customHeight="1">
      <c r="A91" s="505"/>
      <c r="B91" s="505"/>
      <c r="C91" s="505"/>
      <c r="D91" s="505"/>
      <c r="E91" s="505"/>
      <c r="F91" s="505"/>
      <c r="G91" s="505"/>
      <c r="H91" s="505"/>
      <c r="I91" s="505"/>
      <c r="J91" s="505"/>
      <c r="K91" s="505"/>
      <c r="L91" s="505"/>
      <c r="M91" s="505"/>
      <c r="N91" s="505"/>
      <c r="O91" s="505"/>
      <c r="P91" s="505"/>
      <c r="Q91" s="505"/>
      <c r="R91" s="505"/>
      <c r="S91" s="505"/>
      <c r="T91" s="505"/>
      <c r="U91" s="505"/>
      <c r="V91" s="505"/>
      <c r="W91" s="505"/>
    </row>
    <row r="92" spans="1:23" ht="9.9499999999999993" customHeight="1">
      <c r="A92" s="505"/>
      <c r="B92" s="505"/>
      <c r="C92" s="505"/>
      <c r="D92" s="505"/>
      <c r="E92" s="505"/>
      <c r="F92" s="505"/>
      <c r="G92" s="505"/>
      <c r="H92" s="505"/>
      <c r="I92" s="505"/>
      <c r="J92" s="505"/>
      <c r="K92" s="505"/>
      <c r="L92" s="505"/>
      <c r="M92" s="505"/>
      <c r="N92" s="505"/>
      <c r="O92" s="505"/>
      <c r="P92" s="505"/>
      <c r="Q92" s="505"/>
      <c r="R92" s="505"/>
      <c r="S92" s="505"/>
      <c r="T92" s="505"/>
      <c r="U92" s="505"/>
      <c r="V92" s="505"/>
      <c r="W92" s="505"/>
    </row>
    <row r="93" spans="1:23" ht="9.9499999999999993" customHeight="1">
      <c r="A93" s="505"/>
      <c r="B93" s="505"/>
      <c r="C93" s="505"/>
      <c r="D93" s="505"/>
      <c r="E93" s="505"/>
      <c r="F93" s="505"/>
      <c r="G93" s="505"/>
      <c r="H93" s="505"/>
      <c r="I93" s="505"/>
      <c r="J93" s="505"/>
      <c r="K93" s="505"/>
      <c r="L93" s="505"/>
      <c r="M93" s="505"/>
      <c r="N93" s="505"/>
      <c r="O93" s="505"/>
      <c r="P93" s="505"/>
      <c r="Q93" s="505"/>
      <c r="R93" s="505"/>
      <c r="S93" s="505"/>
      <c r="T93" s="505"/>
      <c r="U93" s="505"/>
      <c r="V93" s="505"/>
      <c r="W93" s="505"/>
    </row>
    <row r="94" spans="1:23" ht="9.9499999999999993" customHeight="1">
      <c r="A94" s="505"/>
      <c r="B94" s="505"/>
      <c r="C94" s="505"/>
      <c r="D94" s="505"/>
      <c r="E94" s="505"/>
      <c r="F94" s="505"/>
      <c r="G94" s="505"/>
      <c r="H94" s="505"/>
      <c r="I94" s="505"/>
      <c r="J94" s="505"/>
      <c r="K94" s="505"/>
      <c r="L94" s="505"/>
      <c r="M94" s="505"/>
      <c r="N94" s="505"/>
      <c r="O94" s="505"/>
      <c r="P94" s="505"/>
      <c r="Q94" s="505"/>
      <c r="R94" s="505"/>
      <c r="S94" s="505"/>
      <c r="T94" s="505"/>
      <c r="U94" s="505"/>
      <c r="V94" s="505"/>
      <c r="W94" s="505"/>
    </row>
    <row r="95" spans="1:23" ht="9.9499999999999993" customHeight="1">
      <c r="A95" s="505"/>
      <c r="B95" s="505"/>
      <c r="C95" s="505"/>
      <c r="D95" s="505"/>
      <c r="E95" s="505"/>
      <c r="F95" s="505"/>
      <c r="G95" s="505"/>
      <c r="H95" s="505"/>
      <c r="I95" s="505"/>
      <c r="J95" s="505"/>
      <c r="K95" s="505"/>
      <c r="L95" s="505"/>
      <c r="M95" s="505"/>
      <c r="N95" s="505"/>
      <c r="O95" s="505"/>
      <c r="P95" s="505"/>
      <c r="Q95" s="505"/>
      <c r="R95" s="505"/>
      <c r="S95" s="505"/>
      <c r="T95" s="505"/>
      <c r="U95" s="505"/>
      <c r="V95" s="505"/>
      <c r="W95" s="505"/>
    </row>
    <row r="96" spans="1:23" ht="9.9499999999999993" customHeight="1">
      <c r="A96" s="505"/>
      <c r="B96" s="505"/>
      <c r="C96" s="505"/>
      <c r="D96" s="505"/>
      <c r="E96" s="505"/>
      <c r="F96" s="505"/>
      <c r="G96" s="505"/>
      <c r="H96" s="505"/>
      <c r="I96" s="505"/>
      <c r="J96" s="505"/>
      <c r="K96" s="505"/>
      <c r="L96" s="505"/>
      <c r="M96" s="505"/>
      <c r="N96" s="505"/>
      <c r="O96" s="505"/>
      <c r="P96" s="505"/>
      <c r="Q96" s="505"/>
      <c r="R96" s="505"/>
      <c r="S96" s="505"/>
      <c r="T96" s="505"/>
      <c r="U96" s="505"/>
      <c r="V96" s="505"/>
      <c r="W96" s="505"/>
    </row>
    <row r="97" spans="1:23" ht="9.9499999999999993" customHeight="1">
      <c r="A97" s="505"/>
      <c r="B97" s="505"/>
      <c r="C97" s="505"/>
      <c r="D97" s="505"/>
      <c r="E97" s="505"/>
      <c r="F97" s="505"/>
      <c r="G97" s="505"/>
      <c r="H97" s="505"/>
      <c r="I97" s="505"/>
      <c r="J97" s="505"/>
      <c r="K97" s="505"/>
      <c r="L97" s="505"/>
      <c r="M97" s="505"/>
      <c r="N97" s="505"/>
      <c r="O97" s="505"/>
      <c r="P97" s="505"/>
      <c r="Q97" s="505"/>
      <c r="R97" s="505"/>
      <c r="S97" s="505"/>
      <c r="T97" s="505"/>
      <c r="U97" s="505"/>
      <c r="V97" s="505"/>
      <c r="W97" s="505"/>
    </row>
    <row r="98" spans="1:23" ht="9.9499999999999993" customHeight="1">
      <c r="A98" s="505"/>
      <c r="B98" s="505"/>
      <c r="C98" s="505"/>
      <c r="D98" s="505"/>
      <c r="E98" s="505"/>
      <c r="F98" s="505"/>
      <c r="G98" s="505"/>
      <c r="H98" s="505"/>
      <c r="I98" s="505"/>
      <c r="J98" s="505"/>
      <c r="K98" s="505"/>
      <c r="L98" s="505"/>
      <c r="M98" s="505"/>
      <c r="N98" s="505"/>
      <c r="O98" s="505"/>
      <c r="P98" s="505"/>
      <c r="Q98" s="505"/>
      <c r="R98" s="505"/>
      <c r="S98" s="505"/>
      <c r="T98" s="505"/>
      <c r="U98" s="505"/>
      <c r="V98" s="505"/>
      <c r="W98" s="505"/>
    </row>
    <row r="99" spans="1:23" ht="9.9499999999999993" customHeight="1">
      <c r="A99" s="505"/>
      <c r="B99" s="505"/>
      <c r="C99" s="505"/>
      <c r="D99" s="505"/>
      <c r="E99" s="505"/>
      <c r="F99" s="505"/>
      <c r="G99" s="505"/>
      <c r="H99" s="505"/>
      <c r="I99" s="505"/>
      <c r="J99" s="505"/>
      <c r="K99" s="505"/>
      <c r="L99" s="505"/>
      <c r="M99" s="505"/>
      <c r="N99" s="505"/>
      <c r="O99" s="505"/>
      <c r="P99" s="505"/>
      <c r="Q99" s="505"/>
      <c r="R99" s="505"/>
      <c r="S99" s="505"/>
      <c r="T99" s="505"/>
      <c r="U99" s="505"/>
      <c r="V99" s="505"/>
      <c r="W99" s="505"/>
    </row>
    <row r="100" spans="1:23" ht="9.9499999999999993" customHeight="1">
      <c r="A100" s="505"/>
      <c r="B100" s="505"/>
      <c r="C100" s="505"/>
      <c r="D100" s="505"/>
      <c r="E100" s="505"/>
      <c r="F100" s="505"/>
      <c r="G100" s="505"/>
      <c r="H100" s="505"/>
      <c r="I100" s="505"/>
      <c r="J100" s="505"/>
      <c r="K100" s="505"/>
      <c r="L100" s="505"/>
      <c r="M100" s="505"/>
      <c r="N100" s="505"/>
      <c r="O100" s="505"/>
      <c r="P100" s="505"/>
      <c r="Q100" s="505"/>
      <c r="R100" s="505"/>
      <c r="S100" s="505"/>
      <c r="T100" s="505"/>
      <c r="U100" s="505"/>
      <c r="V100" s="505"/>
      <c r="W100" s="505"/>
    </row>
    <row r="101" spans="1:23" ht="9.9499999999999993" customHeight="1">
      <c r="A101" s="505"/>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row>
    <row r="102" spans="1:23" ht="9.9499999999999993" customHeight="1">
      <c r="A102" s="505"/>
      <c r="B102" s="505"/>
      <c r="C102" s="505"/>
      <c r="D102" s="505"/>
      <c r="E102" s="505"/>
      <c r="F102" s="505"/>
      <c r="G102" s="505"/>
      <c r="H102" s="505"/>
      <c r="I102" s="505"/>
      <c r="J102" s="505"/>
      <c r="K102" s="505"/>
      <c r="L102" s="505"/>
      <c r="M102" s="505"/>
      <c r="N102" s="505"/>
      <c r="O102" s="505"/>
      <c r="P102" s="505"/>
      <c r="Q102" s="505"/>
      <c r="R102" s="505"/>
      <c r="S102" s="505"/>
      <c r="T102" s="505"/>
      <c r="U102" s="505"/>
      <c r="V102" s="505"/>
      <c r="W102" s="505"/>
    </row>
    <row r="103" spans="1:23" ht="9.9499999999999993" customHeight="1">
      <c r="A103" s="505"/>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row>
    <row r="104" spans="1:23" ht="9.9499999999999993" customHeight="1">
      <c r="A104" s="505"/>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row>
    <row r="105" spans="1:23" ht="9.9499999999999993" customHeight="1">
      <c r="A105" s="505"/>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row>
    <row r="106" spans="1:23" ht="9.9499999999999993" customHeight="1">
      <c r="A106" s="505"/>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row>
    <row r="107" spans="1:23" ht="9.9499999999999993"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row>
    <row r="108" spans="1:23" ht="9.9499999999999993" customHeight="1">
      <c r="A108" s="505"/>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row>
    <row r="109" spans="1:23" ht="9.9499999999999993" customHeight="1">
      <c r="A109" s="505"/>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row>
    <row r="110" spans="1:23" ht="9.9499999999999993" customHeight="1">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row>
    <row r="111" spans="1:23" ht="9.9499999999999993" customHeight="1">
      <c r="A111" s="505"/>
      <c r="B111" s="505"/>
      <c r="C111" s="505"/>
      <c r="D111" s="505"/>
      <c r="E111" s="505"/>
      <c r="F111" s="505"/>
      <c r="G111" s="505"/>
      <c r="H111" s="505"/>
      <c r="I111" s="505"/>
      <c r="J111" s="505"/>
      <c r="K111" s="505"/>
      <c r="L111" s="505"/>
      <c r="M111" s="505"/>
      <c r="N111" s="505"/>
      <c r="O111" s="505"/>
      <c r="P111" s="505"/>
      <c r="Q111" s="505"/>
      <c r="R111" s="505"/>
      <c r="S111" s="505"/>
      <c r="T111" s="505"/>
      <c r="U111" s="505"/>
      <c r="V111" s="505"/>
      <c r="W111" s="505"/>
    </row>
    <row r="112" spans="1:23" ht="9.9499999999999993" customHeight="1">
      <c r="A112" s="505"/>
      <c r="B112" s="505"/>
      <c r="C112" s="505"/>
      <c r="D112" s="505"/>
      <c r="E112" s="505"/>
      <c r="F112" s="505"/>
      <c r="G112" s="505"/>
      <c r="H112" s="505"/>
      <c r="I112" s="505"/>
      <c r="J112" s="505"/>
      <c r="K112" s="505"/>
      <c r="L112" s="505"/>
      <c r="M112" s="505"/>
      <c r="N112" s="505"/>
      <c r="O112" s="505"/>
      <c r="P112" s="505"/>
      <c r="Q112" s="505"/>
      <c r="R112" s="505"/>
      <c r="S112" s="505"/>
      <c r="T112" s="505"/>
      <c r="U112" s="505"/>
      <c r="V112" s="505"/>
      <c r="W112" s="505"/>
    </row>
    <row r="113" spans="1:23" ht="9.9499999999999993" customHeight="1">
      <c r="A113" s="50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row>
    <row r="114" spans="1:23" ht="9.9499999999999993" customHeight="1">
      <c r="A114" s="505"/>
      <c r="B114" s="505"/>
      <c r="C114" s="505"/>
      <c r="D114" s="505"/>
      <c r="E114" s="505"/>
      <c r="F114" s="505"/>
      <c r="G114" s="505"/>
      <c r="H114" s="505"/>
      <c r="I114" s="505"/>
      <c r="J114" s="505"/>
      <c r="K114" s="505"/>
      <c r="L114" s="505"/>
      <c r="M114" s="505"/>
      <c r="N114" s="505"/>
      <c r="O114" s="505"/>
      <c r="P114" s="505"/>
      <c r="Q114" s="505"/>
      <c r="R114" s="505"/>
      <c r="S114" s="505"/>
      <c r="T114" s="505"/>
      <c r="U114" s="505"/>
      <c r="V114" s="505"/>
      <c r="W114" s="505"/>
    </row>
    <row r="115" spans="1:23" ht="9.9499999999999993" customHeight="1">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row>
    <row r="116" spans="1:23" ht="9.9499999999999993" customHeight="1">
      <c r="A116" s="505"/>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row>
    <row r="117" spans="1:23" ht="9.9499999999999993" customHeight="1">
      <c r="A117" s="505"/>
      <c r="B117" s="505"/>
      <c r="C117" s="505"/>
      <c r="D117" s="505"/>
      <c r="E117" s="505"/>
      <c r="F117" s="505"/>
      <c r="G117" s="505"/>
      <c r="H117" s="505"/>
      <c r="I117" s="505"/>
      <c r="J117" s="505"/>
      <c r="K117" s="505"/>
      <c r="L117" s="505"/>
      <c r="M117" s="505"/>
      <c r="N117" s="505"/>
      <c r="O117" s="505"/>
      <c r="P117" s="505"/>
      <c r="Q117" s="505"/>
      <c r="R117" s="505"/>
      <c r="S117" s="505"/>
      <c r="T117" s="505"/>
      <c r="U117" s="505"/>
      <c r="V117" s="505"/>
      <c r="W117" s="505"/>
    </row>
    <row r="118" spans="1:23" ht="9.9499999999999993" customHeight="1">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row>
    <row r="119" spans="1:23" ht="9.9499999999999993" customHeight="1">
      <c r="A119" s="505"/>
      <c r="B119" s="505"/>
      <c r="C119" s="505"/>
      <c r="D119" s="505"/>
      <c r="E119" s="505"/>
      <c r="F119" s="505"/>
      <c r="G119" s="505"/>
      <c r="H119" s="505"/>
      <c r="I119" s="505"/>
      <c r="J119" s="505"/>
      <c r="K119" s="505"/>
      <c r="L119" s="505"/>
      <c r="M119" s="505"/>
      <c r="N119" s="505"/>
      <c r="O119" s="505"/>
      <c r="P119" s="505"/>
      <c r="Q119" s="505"/>
      <c r="R119" s="505"/>
      <c r="S119" s="505"/>
      <c r="T119" s="505"/>
      <c r="U119" s="505"/>
      <c r="V119" s="505"/>
      <c r="W119" s="505"/>
    </row>
    <row r="120" spans="1:23" ht="9.9499999999999993" customHeight="1">
      <c r="A120" s="505"/>
      <c r="B120" s="505"/>
      <c r="C120" s="505"/>
      <c r="D120" s="505"/>
      <c r="E120" s="505"/>
      <c r="F120" s="505"/>
      <c r="G120" s="505"/>
      <c r="H120" s="505"/>
      <c r="I120" s="505"/>
      <c r="J120" s="505"/>
      <c r="K120" s="505"/>
      <c r="L120" s="505"/>
      <c r="M120" s="505"/>
      <c r="N120" s="505"/>
      <c r="O120" s="505"/>
      <c r="P120" s="505"/>
      <c r="Q120" s="505"/>
      <c r="R120" s="505"/>
      <c r="S120" s="505"/>
      <c r="T120" s="505"/>
      <c r="U120" s="505"/>
      <c r="V120" s="505"/>
      <c r="W120" s="505"/>
    </row>
    <row r="121" spans="1:23" ht="9.9499999999999993" customHeight="1">
      <c r="A121" s="505"/>
      <c r="B121" s="505"/>
      <c r="C121" s="505"/>
      <c r="D121" s="505"/>
      <c r="E121" s="505"/>
      <c r="F121" s="505"/>
      <c r="G121" s="505"/>
      <c r="H121" s="505"/>
      <c r="I121" s="505"/>
      <c r="J121" s="505"/>
      <c r="K121" s="505"/>
      <c r="L121" s="505"/>
      <c r="M121" s="505"/>
      <c r="N121" s="505"/>
      <c r="O121" s="505"/>
      <c r="P121" s="505"/>
      <c r="Q121" s="505"/>
      <c r="R121" s="505"/>
      <c r="S121" s="505"/>
      <c r="T121" s="505"/>
      <c r="U121" s="505"/>
      <c r="V121" s="505"/>
      <c r="W121" s="505"/>
    </row>
    <row r="122" spans="1:23" ht="9.9499999999999993" customHeight="1">
      <c r="A122" s="505"/>
      <c r="B122" s="505"/>
      <c r="C122" s="505"/>
      <c r="D122" s="505"/>
      <c r="E122" s="505"/>
      <c r="F122" s="505"/>
      <c r="G122" s="505"/>
      <c r="H122" s="505"/>
      <c r="I122" s="505"/>
      <c r="J122" s="505"/>
      <c r="K122" s="505"/>
      <c r="L122" s="505"/>
      <c r="M122" s="505"/>
      <c r="N122" s="505"/>
      <c r="O122" s="505"/>
      <c r="P122" s="505"/>
      <c r="Q122" s="505"/>
      <c r="R122" s="505"/>
      <c r="S122" s="505"/>
      <c r="T122" s="505"/>
      <c r="U122" s="505"/>
      <c r="V122" s="505"/>
      <c r="W122" s="505"/>
    </row>
    <row r="123" spans="1:23" ht="9.9499999999999993" customHeight="1">
      <c r="A123" s="505"/>
      <c r="B123" s="505"/>
      <c r="C123" s="505"/>
      <c r="D123" s="505"/>
      <c r="E123" s="505"/>
      <c r="F123" s="505"/>
      <c r="G123" s="505"/>
      <c r="H123" s="505"/>
      <c r="I123" s="505"/>
      <c r="J123" s="505"/>
      <c r="K123" s="505"/>
      <c r="L123" s="505"/>
      <c r="M123" s="505"/>
      <c r="N123" s="505"/>
      <c r="O123" s="505"/>
      <c r="P123" s="505"/>
      <c r="Q123" s="505"/>
      <c r="R123" s="505"/>
      <c r="S123" s="505"/>
      <c r="T123" s="505"/>
      <c r="U123" s="505"/>
      <c r="V123" s="505"/>
      <c r="W123" s="505"/>
    </row>
    <row r="124" spans="1:23" ht="9.9499999999999993" customHeight="1">
      <c r="A124" s="505"/>
      <c r="B124" s="505"/>
      <c r="C124" s="505"/>
      <c r="D124" s="505"/>
      <c r="E124" s="505"/>
      <c r="F124" s="505"/>
      <c r="G124" s="505"/>
      <c r="H124" s="505"/>
      <c r="I124" s="505"/>
      <c r="J124" s="505"/>
      <c r="K124" s="505"/>
      <c r="L124" s="505"/>
      <c r="M124" s="505"/>
      <c r="N124" s="505"/>
      <c r="O124" s="505"/>
      <c r="P124" s="505"/>
      <c r="Q124" s="505"/>
      <c r="R124" s="505"/>
      <c r="S124" s="505"/>
      <c r="T124" s="505"/>
      <c r="U124" s="505"/>
      <c r="V124" s="505"/>
      <c r="W124" s="505"/>
    </row>
    <row r="125" spans="1:23" ht="9.9499999999999993" customHeight="1">
      <c r="A125" s="505"/>
      <c r="B125" s="505"/>
      <c r="C125" s="505"/>
      <c r="D125" s="505"/>
      <c r="E125" s="505"/>
      <c r="F125" s="505"/>
      <c r="G125" s="505"/>
      <c r="H125" s="505"/>
      <c r="I125" s="505"/>
      <c r="J125" s="505"/>
      <c r="K125" s="505"/>
      <c r="L125" s="505"/>
      <c r="M125" s="505"/>
      <c r="N125" s="505"/>
      <c r="O125" s="505"/>
      <c r="P125" s="505"/>
      <c r="Q125" s="505"/>
      <c r="R125" s="505"/>
      <c r="S125" s="505"/>
      <c r="T125" s="505"/>
      <c r="U125" s="505"/>
      <c r="V125" s="505"/>
      <c r="W125" s="505"/>
    </row>
    <row r="126" spans="1:23" ht="9.9499999999999993" customHeight="1">
      <c r="A126" s="505"/>
      <c r="B126" s="505"/>
      <c r="C126" s="505"/>
      <c r="D126" s="505"/>
      <c r="E126" s="505"/>
      <c r="F126" s="505"/>
      <c r="G126" s="505"/>
      <c r="H126" s="505"/>
      <c r="I126" s="505"/>
      <c r="J126" s="505"/>
      <c r="K126" s="505"/>
      <c r="L126" s="505"/>
      <c r="M126" s="505"/>
      <c r="N126" s="505"/>
      <c r="O126" s="505"/>
      <c r="P126" s="505"/>
      <c r="Q126" s="505"/>
      <c r="R126" s="505"/>
      <c r="S126" s="505"/>
      <c r="T126" s="505"/>
      <c r="U126" s="505"/>
      <c r="V126" s="505"/>
      <c r="W126" s="505"/>
    </row>
    <row r="127" spans="1:23" ht="9.9499999999999993" customHeight="1">
      <c r="A127" s="505"/>
      <c r="B127" s="505"/>
      <c r="C127" s="505"/>
      <c r="D127" s="505"/>
      <c r="E127" s="505"/>
      <c r="F127" s="505"/>
      <c r="G127" s="505"/>
      <c r="H127" s="505"/>
      <c r="I127" s="505"/>
      <c r="J127" s="505"/>
      <c r="K127" s="505"/>
      <c r="L127" s="505"/>
      <c r="M127" s="505"/>
      <c r="N127" s="505"/>
      <c r="O127" s="505"/>
      <c r="P127" s="505"/>
      <c r="Q127" s="505"/>
      <c r="R127" s="505"/>
      <c r="S127" s="505"/>
      <c r="T127" s="505"/>
      <c r="U127" s="505"/>
      <c r="V127" s="505"/>
      <c r="W127" s="505"/>
    </row>
    <row r="128" spans="1:23" ht="9.9499999999999993" customHeight="1">
      <c r="A128" s="505"/>
      <c r="B128" s="505"/>
      <c r="C128" s="505"/>
      <c r="D128" s="505"/>
      <c r="E128" s="505"/>
      <c r="F128" s="505"/>
      <c r="G128" s="505"/>
      <c r="H128" s="505"/>
      <c r="I128" s="505"/>
      <c r="J128" s="505"/>
      <c r="K128" s="505"/>
      <c r="L128" s="505"/>
      <c r="M128" s="505"/>
      <c r="N128" s="505"/>
      <c r="O128" s="505"/>
      <c r="P128" s="505"/>
      <c r="Q128" s="505"/>
      <c r="R128" s="505"/>
      <c r="S128" s="505"/>
      <c r="T128" s="505"/>
      <c r="U128" s="505"/>
      <c r="V128" s="505"/>
      <c r="W128" s="505"/>
    </row>
    <row r="129" spans="1:23" ht="9.9499999999999993" customHeight="1">
      <c r="A129" s="505"/>
      <c r="B129" s="505"/>
      <c r="C129" s="505"/>
      <c r="D129" s="505"/>
      <c r="E129" s="505"/>
      <c r="F129" s="505"/>
      <c r="G129" s="505"/>
      <c r="H129" s="505"/>
      <c r="I129" s="505"/>
      <c r="J129" s="505"/>
      <c r="K129" s="505"/>
      <c r="L129" s="505"/>
      <c r="M129" s="505"/>
      <c r="N129" s="505"/>
      <c r="O129" s="505"/>
      <c r="P129" s="505"/>
      <c r="Q129" s="505"/>
      <c r="R129" s="505"/>
      <c r="S129" s="505"/>
      <c r="T129" s="505"/>
      <c r="U129" s="505"/>
      <c r="V129" s="505"/>
      <c r="W129" s="505"/>
    </row>
    <row r="130" spans="1:23" ht="9.9499999999999993" customHeight="1">
      <c r="A130" s="505"/>
      <c r="B130" s="505"/>
      <c r="C130" s="505"/>
      <c r="D130" s="505"/>
      <c r="E130" s="505"/>
      <c r="F130" s="505"/>
      <c r="G130" s="505"/>
      <c r="H130" s="505"/>
      <c r="I130" s="505"/>
      <c r="J130" s="505"/>
      <c r="K130" s="505"/>
      <c r="L130" s="505"/>
      <c r="M130" s="505"/>
      <c r="N130" s="505"/>
      <c r="O130" s="505"/>
      <c r="P130" s="505"/>
      <c r="Q130" s="505"/>
      <c r="R130" s="505"/>
      <c r="S130" s="505"/>
      <c r="T130" s="505"/>
      <c r="U130" s="505"/>
      <c r="V130" s="505"/>
      <c r="W130" s="505"/>
    </row>
    <row r="131" spans="1:23" ht="9.9499999999999993" customHeight="1">
      <c r="A131" s="505"/>
      <c r="B131" s="505"/>
      <c r="C131" s="505"/>
      <c r="D131" s="505"/>
      <c r="E131" s="505"/>
      <c r="F131" s="505"/>
      <c r="G131" s="505"/>
      <c r="H131" s="505"/>
      <c r="I131" s="505"/>
      <c r="J131" s="505"/>
      <c r="K131" s="505"/>
      <c r="L131" s="505"/>
      <c r="M131" s="505"/>
      <c r="N131" s="505"/>
      <c r="O131" s="505"/>
      <c r="P131" s="505"/>
      <c r="Q131" s="505"/>
      <c r="R131" s="505"/>
      <c r="S131" s="505"/>
      <c r="T131" s="505"/>
      <c r="U131" s="505"/>
      <c r="V131" s="505"/>
      <c r="W131" s="505"/>
    </row>
    <row r="132" spans="1:23" ht="9.9499999999999993" customHeight="1">
      <c r="A132" s="505"/>
      <c r="B132" s="505"/>
      <c r="C132" s="505"/>
      <c r="D132" s="505"/>
      <c r="E132" s="505"/>
      <c r="F132" s="505"/>
      <c r="G132" s="505"/>
      <c r="H132" s="505"/>
      <c r="I132" s="505"/>
      <c r="J132" s="505"/>
      <c r="K132" s="505"/>
      <c r="L132" s="505"/>
      <c r="M132" s="505"/>
      <c r="N132" s="505"/>
      <c r="O132" s="505"/>
      <c r="P132" s="505"/>
      <c r="Q132" s="505"/>
      <c r="R132" s="505"/>
      <c r="S132" s="505"/>
      <c r="T132" s="505"/>
      <c r="U132" s="505"/>
      <c r="V132" s="505"/>
      <c r="W132" s="505"/>
    </row>
    <row r="133" spans="1:23" ht="9.9499999999999993" customHeight="1">
      <c r="A133" s="505"/>
      <c r="B133" s="505"/>
      <c r="C133" s="505"/>
      <c r="D133" s="505"/>
      <c r="E133" s="505"/>
      <c r="F133" s="505"/>
      <c r="G133" s="505"/>
      <c r="H133" s="505"/>
      <c r="I133" s="505"/>
      <c r="J133" s="505"/>
      <c r="K133" s="505"/>
      <c r="L133" s="505"/>
      <c r="M133" s="505"/>
      <c r="N133" s="505"/>
      <c r="O133" s="505"/>
      <c r="P133" s="505"/>
      <c r="Q133" s="505"/>
      <c r="R133" s="505"/>
      <c r="S133" s="505"/>
      <c r="T133" s="505"/>
      <c r="U133" s="505"/>
      <c r="V133" s="505"/>
      <c r="W133" s="505"/>
    </row>
    <row r="134" spans="1:23" ht="9.9499999999999993" customHeight="1">
      <c r="A134" s="505"/>
      <c r="B134" s="505"/>
      <c r="C134" s="505"/>
      <c r="D134" s="505"/>
      <c r="E134" s="505"/>
      <c r="F134" s="505"/>
      <c r="G134" s="505"/>
      <c r="H134" s="505"/>
      <c r="I134" s="505"/>
      <c r="J134" s="505"/>
      <c r="K134" s="505"/>
      <c r="L134" s="505"/>
      <c r="M134" s="505"/>
      <c r="N134" s="505"/>
      <c r="O134" s="505"/>
      <c r="P134" s="505"/>
      <c r="Q134" s="505"/>
      <c r="R134" s="505"/>
      <c r="S134" s="505"/>
      <c r="T134" s="505"/>
      <c r="U134" s="505"/>
      <c r="V134" s="505"/>
      <c r="W134" s="505"/>
    </row>
    <row r="135" spans="1:23" ht="9.9499999999999993" customHeight="1">
      <c r="A135" s="505"/>
      <c r="B135" s="505"/>
      <c r="C135" s="505"/>
      <c r="D135" s="505"/>
      <c r="E135" s="505"/>
      <c r="F135" s="505"/>
      <c r="G135" s="505"/>
      <c r="H135" s="505"/>
      <c r="I135" s="505"/>
      <c r="J135" s="505"/>
      <c r="K135" s="505"/>
      <c r="L135" s="505"/>
      <c r="M135" s="505"/>
      <c r="N135" s="505"/>
      <c r="O135" s="505"/>
      <c r="P135" s="505"/>
      <c r="Q135" s="505"/>
      <c r="R135" s="505"/>
      <c r="S135" s="505"/>
      <c r="T135" s="505"/>
      <c r="U135" s="505"/>
      <c r="V135" s="505"/>
      <c r="W135" s="505"/>
    </row>
    <row r="136" spans="1:23" ht="9.9499999999999993" customHeight="1">
      <c r="A136" s="505"/>
      <c r="B136" s="505"/>
      <c r="C136" s="505"/>
      <c r="D136" s="505"/>
      <c r="E136" s="505"/>
      <c r="F136" s="505"/>
      <c r="G136" s="505"/>
      <c r="H136" s="505"/>
      <c r="I136" s="505"/>
      <c r="J136" s="505"/>
      <c r="K136" s="505"/>
      <c r="L136" s="505"/>
      <c r="M136" s="505"/>
      <c r="N136" s="505"/>
      <c r="O136" s="505"/>
      <c r="P136" s="505"/>
      <c r="Q136" s="505"/>
      <c r="R136" s="505"/>
      <c r="S136" s="505"/>
      <c r="T136" s="505"/>
      <c r="U136" s="505"/>
      <c r="V136" s="505"/>
      <c r="W136" s="505"/>
    </row>
    <row r="137" spans="1:23" ht="9.9499999999999993" customHeight="1">
      <c r="A137" s="505"/>
      <c r="B137" s="505"/>
      <c r="C137" s="505"/>
      <c r="D137" s="505"/>
      <c r="E137" s="505"/>
      <c r="F137" s="505"/>
      <c r="G137" s="505"/>
      <c r="H137" s="505"/>
      <c r="I137" s="505"/>
      <c r="J137" s="505"/>
      <c r="K137" s="505"/>
      <c r="L137" s="505"/>
      <c r="M137" s="505"/>
      <c r="N137" s="505"/>
      <c r="O137" s="505"/>
      <c r="P137" s="505"/>
      <c r="Q137" s="505"/>
      <c r="R137" s="505"/>
      <c r="S137" s="505"/>
      <c r="T137" s="505"/>
      <c r="U137" s="505"/>
      <c r="V137" s="505"/>
      <c r="W137" s="505"/>
    </row>
    <row r="138" spans="1:23" ht="9.9499999999999993" customHeight="1">
      <c r="A138" s="505"/>
      <c r="B138" s="505"/>
      <c r="C138" s="505"/>
      <c r="D138" s="505"/>
      <c r="E138" s="505"/>
      <c r="F138" s="505"/>
      <c r="G138" s="505"/>
      <c r="H138" s="505"/>
      <c r="I138" s="505"/>
      <c r="J138" s="505"/>
      <c r="K138" s="505"/>
      <c r="L138" s="505"/>
      <c r="M138" s="505"/>
      <c r="N138" s="505"/>
      <c r="O138" s="505"/>
      <c r="P138" s="505"/>
      <c r="Q138" s="505"/>
      <c r="R138" s="505"/>
      <c r="S138" s="505"/>
      <c r="T138" s="505"/>
      <c r="U138" s="505"/>
      <c r="V138" s="505"/>
      <c r="W138" s="505"/>
    </row>
    <row r="139" spans="1:23" ht="9.9499999999999993" customHeight="1">
      <c r="A139" s="505"/>
      <c r="B139" s="505"/>
      <c r="C139" s="505"/>
      <c r="D139" s="505"/>
      <c r="E139" s="505"/>
      <c r="F139" s="505"/>
      <c r="G139" s="505"/>
      <c r="H139" s="505"/>
      <c r="I139" s="505"/>
      <c r="J139" s="505"/>
      <c r="K139" s="505"/>
      <c r="L139" s="505"/>
      <c r="M139" s="505"/>
      <c r="N139" s="505"/>
      <c r="O139" s="505"/>
      <c r="P139" s="505"/>
      <c r="Q139" s="505"/>
      <c r="R139" s="505"/>
      <c r="S139" s="505"/>
      <c r="T139" s="505"/>
      <c r="U139" s="505"/>
      <c r="V139" s="505"/>
      <c r="W139" s="505"/>
    </row>
    <row r="140" spans="1:23" ht="9.9499999999999993" customHeight="1">
      <c r="A140" s="505"/>
      <c r="B140" s="505"/>
      <c r="C140" s="505"/>
      <c r="D140" s="505"/>
      <c r="E140" s="505"/>
      <c r="F140" s="505"/>
      <c r="G140" s="505"/>
      <c r="H140" s="505"/>
      <c r="I140" s="505"/>
      <c r="J140" s="505"/>
      <c r="K140" s="505"/>
      <c r="L140" s="505"/>
      <c r="M140" s="505"/>
      <c r="N140" s="505"/>
      <c r="O140" s="505"/>
      <c r="P140" s="505"/>
      <c r="Q140" s="505"/>
      <c r="R140" s="505"/>
      <c r="S140" s="505"/>
      <c r="T140" s="505"/>
      <c r="U140" s="505"/>
      <c r="V140" s="505"/>
      <c r="W140" s="505"/>
    </row>
    <row r="141" spans="1:23" ht="9.9499999999999993" customHeight="1">
      <c r="A141" s="505"/>
      <c r="B141" s="505"/>
      <c r="C141" s="505"/>
      <c r="D141" s="505"/>
      <c r="E141" s="505"/>
      <c r="F141" s="505"/>
      <c r="G141" s="505"/>
      <c r="H141" s="505"/>
      <c r="I141" s="505"/>
      <c r="J141" s="505"/>
      <c r="K141" s="505"/>
      <c r="L141" s="505"/>
      <c r="M141" s="505"/>
      <c r="N141" s="505"/>
      <c r="O141" s="505"/>
      <c r="P141" s="505"/>
      <c r="Q141" s="505"/>
      <c r="R141" s="505"/>
      <c r="S141" s="505"/>
      <c r="T141" s="505"/>
      <c r="U141" s="505"/>
      <c r="V141" s="505"/>
      <c r="W141" s="505"/>
    </row>
    <row r="142" spans="1:23" ht="9.9499999999999993" customHeight="1">
      <c r="A142" s="505"/>
      <c r="B142" s="505"/>
      <c r="C142" s="505"/>
      <c r="D142" s="505"/>
      <c r="E142" s="505"/>
      <c r="F142" s="505"/>
      <c r="G142" s="505"/>
      <c r="H142" s="505"/>
      <c r="I142" s="505"/>
      <c r="J142" s="505"/>
      <c r="K142" s="505"/>
      <c r="L142" s="505"/>
      <c r="M142" s="505"/>
      <c r="N142" s="505"/>
      <c r="O142" s="505"/>
      <c r="P142" s="505"/>
      <c r="Q142" s="505"/>
      <c r="R142" s="505"/>
      <c r="S142" s="505"/>
      <c r="T142" s="505"/>
      <c r="U142" s="505"/>
      <c r="V142" s="505"/>
      <c r="W142" s="505"/>
    </row>
    <row r="143" spans="1:23" ht="9.9499999999999993" customHeight="1">
      <c r="A143" s="505"/>
      <c r="B143" s="505"/>
      <c r="C143" s="505"/>
      <c r="D143" s="505"/>
      <c r="E143" s="505"/>
      <c r="F143" s="505"/>
      <c r="G143" s="505"/>
      <c r="H143" s="505"/>
      <c r="I143" s="505"/>
      <c r="J143" s="505"/>
      <c r="K143" s="505"/>
      <c r="L143" s="505"/>
      <c r="M143" s="505"/>
      <c r="N143" s="505"/>
      <c r="O143" s="505"/>
      <c r="P143" s="505"/>
      <c r="Q143" s="505"/>
      <c r="R143" s="505"/>
      <c r="S143" s="505"/>
      <c r="T143" s="505"/>
      <c r="U143" s="505"/>
      <c r="V143" s="505"/>
      <c r="W143" s="505"/>
    </row>
    <row r="144" spans="1:23" ht="9.9499999999999993" customHeight="1">
      <c r="A144" s="505"/>
      <c r="B144" s="505"/>
      <c r="C144" s="505"/>
      <c r="D144" s="505"/>
      <c r="E144" s="505"/>
      <c r="F144" s="505"/>
      <c r="G144" s="505"/>
      <c r="H144" s="505"/>
      <c r="I144" s="505"/>
      <c r="J144" s="505"/>
      <c r="K144" s="505"/>
      <c r="L144" s="505"/>
      <c r="M144" s="505"/>
      <c r="N144" s="505"/>
      <c r="O144" s="505"/>
      <c r="P144" s="505"/>
      <c r="Q144" s="505"/>
      <c r="R144" s="505"/>
      <c r="S144" s="505"/>
      <c r="T144" s="505"/>
      <c r="U144" s="505"/>
      <c r="V144" s="505"/>
      <c r="W144" s="505"/>
    </row>
    <row r="145" spans="1:23" ht="9.9499999999999993" customHeight="1">
      <c r="A145" s="505"/>
      <c r="B145" s="505"/>
      <c r="C145" s="505"/>
      <c r="D145" s="505"/>
      <c r="E145" s="505"/>
      <c r="F145" s="505"/>
      <c r="G145" s="505"/>
      <c r="H145" s="505"/>
      <c r="I145" s="505"/>
      <c r="J145" s="505"/>
      <c r="K145" s="505"/>
      <c r="L145" s="505"/>
      <c r="M145" s="505"/>
      <c r="N145" s="505"/>
      <c r="O145" s="505"/>
      <c r="P145" s="505"/>
      <c r="Q145" s="505"/>
      <c r="R145" s="505"/>
      <c r="S145" s="505"/>
      <c r="T145" s="505"/>
      <c r="U145" s="505"/>
      <c r="V145" s="505"/>
      <c r="W145" s="505"/>
    </row>
    <row r="146" spans="1:23" ht="9.9499999999999993" customHeight="1">
      <c r="A146" s="505"/>
      <c r="B146" s="505"/>
      <c r="C146" s="505"/>
      <c r="D146" s="505"/>
      <c r="E146" s="505"/>
      <c r="F146" s="505"/>
      <c r="G146" s="505"/>
      <c r="H146" s="505"/>
      <c r="I146" s="505"/>
      <c r="J146" s="505"/>
      <c r="K146" s="505"/>
      <c r="L146" s="505"/>
      <c r="M146" s="505"/>
      <c r="N146" s="505"/>
      <c r="O146" s="505"/>
      <c r="P146" s="505"/>
      <c r="Q146" s="505"/>
      <c r="R146" s="505"/>
      <c r="S146" s="505"/>
      <c r="T146" s="505"/>
      <c r="U146" s="505"/>
      <c r="V146" s="505"/>
      <c r="W146" s="505"/>
    </row>
    <row r="147" spans="1:23" ht="9.9499999999999993" customHeight="1">
      <c r="A147" s="505"/>
      <c r="B147" s="505"/>
      <c r="C147" s="505"/>
      <c r="D147" s="505"/>
      <c r="E147" s="505"/>
      <c r="F147" s="505"/>
      <c r="G147" s="505"/>
      <c r="H147" s="505"/>
      <c r="I147" s="505"/>
      <c r="J147" s="505"/>
      <c r="K147" s="505"/>
      <c r="L147" s="505"/>
      <c r="M147" s="505"/>
      <c r="N147" s="505"/>
      <c r="O147" s="505"/>
      <c r="P147" s="505"/>
      <c r="Q147" s="505"/>
      <c r="R147" s="505"/>
      <c r="S147" s="505"/>
      <c r="T147" s="505"/>
      <c r="U147" s="505"/>
      <c r="V147" s="505"/>
      <c r="W147" s="505"/>
    </row>
    <row r="148" spans="1:23" ht="9.9499999999999993" customHeight="1">
      <c r="A148" s="505"/>
      <c r="B148" s="505"/>
      <c r="C148" s="505"/>
      <c r="D148" s="505"/>
      <c r="E148" s="505"/>
      <c r="F148" s="505"/>
      <c r="G148" s="505"/>
      <c r="H148" s="505"/>
      <c r="I148" s="505"/>
      <c r="J148" s="505"/>
      <c r="K148" s="505"/>
      <c r="L148" s="505"/>
      <c r="M148" s="505"/>
      <c r="N148" s="505"/>
      <c r="O148" s="505"/>
      <c r="P148" s="505"/>
      <c r="Q148" s="505"/>
      <c r="R148" s="505"/>
      <c r="S148" s="505"/>
      <c r="T148" s="505"/>
      <c r="U148" s="505"/>
      <c r="V148" s="505"/>
      <c r="W148" s="505"/>
    </row>
    <row r="149" spans="1:23" ht="9.9499999999999993" customHeight="1">
      <c r="A149" s="505"/>
      <c r="B149" s="505"/>
      <c r="C149" s="505"/>
      <c r="D149" s="505"/>
      <c r="E149" s="505"/>
      <c r="F149" s="505"/>
      <c r="G149" s="505"/>
      <c r="H149" s="505"/>
      <c r="I149" s="505"/>
      <c r="J149" s="505"/>
      <c r="K149" s="505"/>
      <c r="L149" s="505"/>
      <c r="M149" s="505"/>
      <c r="N149" s="505"/>
      <c r="O149" s="505"/>
      <c r="P149" s="505"/>
      <c r="Q149" s="505"/>
      <c r="R149" s="505"/>
      <c r="S149" s="505"/>
      <c r="T149" s="505"/>
      <c r="U149" s="505"/>
      <c r="V149" s="505"/>
      <c r="W149" s="505"/>
    </row>
    <row r="150" spans="1:23" ht="9.9499999999999993" customHeight="1">
      <c r="A150" s="505"/>
      <c r="B150" s="505"/>
      <c r="C150" s="505"/>
      <c r="D150" s="505"/>
      <c r="E150" s="505"/>
      <c r="F150" s="505"/>
      <c r="G150" s="505"/>
      <c r="H150" s="505"/>
      <c r="I150" s="505"/>
      <c r="J150" s="505"/>
      <c r="K150" s="505"/>
      <c r="L150" s="505"/>
      <c r="M150" s="505"/>
      <c r="N150" s="505"/>
      <c r="O150" s="505"/>
      <c r="P150" s="505"/>
      <c r="Q150" s="505"/>
      <c r="R150" s="505"/>
      <c r="S150" s="505"/>
      <c r="T150" s="505"/>
      <c r="U150" s="505"/>
      <c r="V150" s="505"/>
      <c r="W150" s="505"/>
    </row>
    <row r="151" spans="1:23" ht="9.9499999999999993" customHeight="1">
      <c r="A151" s="505"/>
      <c r="B151" s="505"/>
      <c r="C151" s="505"/>
      <c r="D151" s="505"/>
      <c r="E151" s="505"/>
      <c r="F151" s="505"/>
      <c r="G151" s="505"/>
      <c r="H151" s="505"/>
      <c r="I151" s="505"/>
      <c r="J151" s="505"/>
      <c r="K151" s="505"/>
      <c r="L151" s="505"/>
      <c r="M151" s="505"/>
      <c r="N151" s="505"/>
      <c r="O151" s="505"/>
      <c r="P151" s="505"/>
      <c r="Q151" s="505"/>
      <c r="R151" s="505"/>
      <c r="S151" s="505"/>
      <c r="T151" s="505"/>
      <c r="U151" s="505"/>
      <c r="V151" s="505"/>
      <c r="W151" s="505"/>
    </row>
    <row r="152" spans="1:23" ht="9.9499999999999993" customHeight="1">
      <c r="A152" s="505"/>
      <c r="B152" s="505"/>
      <c r="C152" s="505"/>
      <c r="D152" s="505"/>
      <c r="E152" s="505"/>
      <c r="F152" s="505"/>
      <c r="G152" s="505"/>
      <c r="H152" s="505"/>
      <c r="I152" s="505"/>
      <c r="J152" s="505"/>
      <c r="K152" s="505"/>
      <c r="L152" s="505"/>
      <c r="M152" s="505"/>
      <c r="N152" s="505"/>
      <c r="O152" s="505"/>
      <c r="P152" s="505"/>
      <c r="Q152" s="505"/>
      <c r="R152" s="505"/>
      <c r="S152" s="505"/>
      <c r="T152" s="505"/>
      <c r="U152" s="505"/>
      <c r="V152" s="505"/>
      <c r="W152" s="505"/>
    </row>
    <row r="153" spans="1:23" ht="9.9499999999999993" customHeight="1">
      <c r="A153" s="505"/>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row>
    <row r="154" spans="1:23" ht="9.9499999999999993" customHeight="1">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row>
    <row r="155" spans="1:23" ht="9.9499999999999993" customHeight="1">
      <c r="A155" s="505"/>
      <c r="B155" s="505"/>
      <c r="C155" s="505"/>
      <c r="D155" s="505"/>
      <c r="E155" s="505"/>
      <c r="F155" s="505"/>
      <c r="G155" s="505"/>
      <c r="H155" s="505"/>
      <c r="I155" s="505"/>
      <c r="J155" s="505"/>
      <c r="K155" s="505"/>
      <c r="L155" s="505"/>
      <c r="M155" s="505"/>
      <c r="N155" s="505"/>
      <c r="O155" s="505"/>
      <c r="P155" s="505"/>
      <c r="Q155" s="505"/>
      <c r="R155" s="505"/>
      <c r="S155" s="505"/>
      <c r="T155" s="505"/>
      <c r="U155" s="505"/>
      <c r="V155" s="505"/>
      <c r="W155" s="505"/>
    </row>
    <row r="156" spans="1:23" ht="9.9499999999999993" customHeight="1">
      <c r="A156" s="505"/>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row>
    <row r="157" spans="1:23" ht="9.9499999999999993" customHeight="1">
      <c r="A157" s="505"/>
      <c r="B157" s="505"/>
      <c r="C157" s="505"/>
      <c r="D157" s="505"/>
      <c r="E157" s="505"/>
      <c r="F157" s="505"/>
      <c r="G157" s="505"/>
      <c r="H157" s="505"/>
      <c r="I157" s="505"/>
      <c r="J157" s="505"/>
      <c r="K157" s="505"/>
      <c r="L157" s="505"/>
      <c r="M157" s="505"/>
      <c r="N157" s="505"/>
      <c r="O157" s="505"/>
      <c r="P157" s="505"/>
      <c r="Q157" s="505"/>
      <c r="R157" s="505"/>
      <c r="S157" s="505"/>
      <c r="T157" s="505"/>
      <c r="U157" s="505"/>
      <c r="V157" s="505"/>
      <c r="W157" s="505"/>
    </row>
    <row r="158" spans="1:23" ht="9.9499999999999993" customHeight="1">
      <c r="A158" s="505"/>
      <c r="B158" s="505"/>
      <c r="C158" s="505"/>
      <c r="D158" s="505"/>
      <c r="E158" s="505"/>
      <c r="F158" s="505"/>
      <c r="G158" s="505"/>
      <c r="H158" s="505"/>
      <c r="I158" s="505"/>
      <c r="J158" s="505"/>
      <c r="K158" s="505"/>
      <c r="L158" s="505"/>
      <c r="M158" s="505"/>
      <c r="N158" s="505"/>
      <c r="O158" s="505"/>
      <c r="P158" s="505"/>
      <c r="Q158" s="505"/>
      <c r="R158" s="505"/>
      <c r="S158" s="505"/>
      <c r="T158" s="505"/>
      <c r="U158" s="505"/>
      <c r="V158" s="505"/>
      <c r="W158" s="505"/>
    </row>
    <row r="159" spans="1:23" ht="9.9499999999999993" customHeight="1">
      <c r="A159" s="505"/>
      <c r="B159" s="505"/>
      <c r="C159" s="505"/>
      <c r="D159" s="505"/>
      <c r="E159" s="505"/>
      <c r="F159" s="505"/>
      <c r="G159" s="505"/>
      <c r="H159" s="505"/>
      <c r="I159" s="505"/>
      <c r="J159" s="505"/>
      <c r="K159" s="505"/>
      <c r="L159" s="505"/>
      <c r="M159" s="505"/>
      <c r="N159" s="505"/>
      <c r="O159" s="505"/>
      <c r="P159" s="505"/>
      <c r="Q159" s="505"/>
      <c r="R159" s="505"/>
      <c r="S159" s="505"/>
      <c r="T159" s="505"/>
      <c r="U159" s="505"/>
      <c r="V159" s="505"/>
      <c r="W159" s="505"/>
    </row>
    <row r="160" spans="1:23" ht="9.9499999999999993" customHeight="1">
      <c r="A160" s="505"/>
      <c r="B160" s="505"/>
      <c r="C160" s="505"/>
      <c r="D160" s="505"/>
      <c r="E160" s="505"/>
      <c r="F160" s="505"/>
      <c r="G160" s="505"/>
      <c r="H160" s="505"/>
      <c r="I160" s="505"/>
      <c r="J160" s="505"/>
      <c r="K160" s="505"/>
      <c r="L160" s="505"/>
      <c r="M160" s="505"/>
      <c r="N160" s="505"/>
      <c r="O160" s="505"/>
      <c r="P160" s="505"/>
      <c r="Q160" s="505"/>
      <c r="R160" s="505"/>
      <c r="S160" s="505"/>
      <c r="T160" s="505"/>
      <c r="U160" s="505"/>
      <c r="V160" s="505"/>
      <c r="W160" s="505"/>
    </row>
    <row r="161" spans="1:23" ht="9.9499999999999993" customHeight="1">
      <c r="A161" s="505"/>
      <c r="B161" s="505"/>
      <c r="C161" s="505"/>
      <c r="D161" s="505"/>
      <c r="E161" s="505"/>
      <c r="F161" s="505"/>
      <c r="G161" s="505"/>
      <c r="H161" s="505"/>
      <c r="I161" s="505"/>
      <c r="J161" s="505"/>
      <c r="K161" s="505"/>
      <c r="L161" s="505"/>
      <c r="M161" s="505"/>
      <c r="N161" s="505"/>
      <c r="O161" s="505"/>
      <c r="P161" s="505"/>
      <c r="Q161" s="505"/>
      <c r="R161" s="505"/>
      <c r="S161" s="505"/>
      <c r="T161" s="505"/>
      <c r="U161" s="505"/>
      <c r="V161" s="505"/>
      <c r="W161" s="505"/>
    </row>
    <row r="162" spans="1:23" ht="9.9499999999999993" customHeight="1">
      <c r="A162" s="505"/>
      <c r="B162" s="505"/>
      <c r="C162" s="505"/>
      <c r="D162" s="505"/>
      <c r="E162" s="505"/>
      <c r="F162" s="505"/>
      <c r="G162" s="505"/>
      <c r="H162" s="505"/>
      <c r="I162" s="505"/>
      <c r="J162" s="505"/>
      <c r="K162" s="505"/>
      <c r="L162" s="505"/>
      <c r="M162" s="505"/>
      <c r="N162" s="505"/>
      <c r="O162" s="505"/>
      <c r="P162" s="505"/>
      <c r="Q162" s="505"/>
      <c r="R162" s="505"/>
      <c r="S162" s="505"/>
      <c r="T162" s="505"/>
      <c r="U162" s="505"/>
      <c r="V162" s="505"/>
      <c r="W162" s="505"/>
    </row>
    <row r="163" spans="1:23" ht="9.9499999999999993" customHeight="1">
      <c r="A163" s="505"/>
      <c r="B163" s="505"/>
      <c r="C163" s="505"/>
      <c r="D163" s="505"/>
      <c r="E163" s="505"/>
      <c r="F163" s="505"/>
      <c r="G163" s="505"/>
      <c r="H163" s="505"/>
      <c r="I163" s="505"/>
      <c r="J163" s="505"/>
      <c r="K163" s="505"/>
      <c r="L163" s="505"/>
      <c r="M163" s="505"/>
      <c r="N163" s="505"/>
      <c r="O163" s="505"/>
      <c r="P163" s="505"/>
      <c r="Q163" s="505"/>
      <c r="R163" s="505"/>
      <c r="S163" s="505"/>
      <c r="T163" s="505"/>
      <c r="U163" s="505"/>
      <c r="V163" s="505"/>
      <c r="W163" s="505"/>
    </row>
    <row r="164" spans="1:23" ht="9.9499999999999993" customHeight="1">
      <c r="A164" s="505"/>
      <c r="B164" s="505"/>
      <c r="C164" s="505"/>
      <c r="D164" s="505"/>
      <c r="E164" s="505"/>
      <c r="F164" s="505"/>
      <c r="G164" s="505"/>
      <c r="H164" s="505"/>
      <c r="I164" s="505"/>
      <c r="J164" s="505"/>
      <c r="K164" s="505"/>
      <c r="L164" s="505"/>
      <c r="M164" s="505"/>
      <c r="N164" s="505"/>
      <c r="O164" s="505"/>
      <c r="P164" s="505"/>
      <c r="Q164" s="505"/>
      <c r="R164" s="505"/>
      <c r="S164" s="505"/>
      <c r="T164" s="505"/>
      <c r="U164" s="505"/>
      <c r="V164" s="505"/>
      <c r="W164" s="505"/>
    </row>
    <row r="165" spans="1:23" ht="9.9499999999999993" customHeight="1">
      <c r="A165" s="505"/>
      <c r="B165" s="505"/>
      <c r="C165" s="505"/>
      <c r="D165" s="505"/>
      <c r="E165" s="505"/>
      <c r="F165" s="505"/>
      <c r="G165" s="505"/>
      <c r="H165" s="505"/>
      <c r="I165" s="505"/>
      <c r="J165" s="505"/>
      <c r="K165" s="505"/>
      <c r="L165" s="505"/>
      <c r="M165" s="505"/>
      <c r="N165" s="505"/>
      <c r="O165" s="505"/>
      <c r="P165" s="505"/>
      <c r="Q165" s="505"/>
      <c r="R165" s="505"/>
      <c r="S165" s="505"/>
      <c r="T165" s="505"/>
      <c r="U165" s="505"/>
      <c r="V165" s="505"/>
      <c r="W165" s="505"/>
    </row>
    <row r="166" spans="1:23" ht="9.9499999999999993" customHeight="1">
      <c r="A166" s="505"/>
      <c r="B166" s="505"/>
      <c r="C166" s="505"/>
      <c r="D166" s="505"/>
      <c r="E166" s="505"/>
      <c r="F166" s="505"/>
      <c r="G166" s="505"/>
      <c r="H166" s="505"/>
      <c r="I166" s="505"/>
      <c r="J166" s="505"/>
      <c r="K166" s="505"/>
      <c r="L166" s="505"/>
      <c r="M166" s="505"/>
      <c r="N166" s="505"/>
      <c r="O166" s="505"/>
      <c r="P166" s="505"/>
      <c r="Q166" s="505"/>
      <c r="R166" s="505"/>
      <c r="S166" s="505"/>
      <c r="T166" s="505"/>
      <c r="U166" s="505"/>
      <c r="V166" s="505"/>
      <c r="W166" s="505"/>
    </row>
    <row r="167" spans="1:23" ht="9.9499999999999993" customHeight="1">
      <c r="A167" s="505"/>
      <c r="B167" s="505"/>
      <c r="C167" s="505"/>
      <c r="D167" s="505"/>
      <c r="E167" s="505"/>
      <c r="F167" s="505"/>
      <c r="G167" s="505"/>
      <c r="H167" s="505"/>
      <c r="I167" s="505"/>
      <c r="J167" s="505"/>
      <c r="K167" s="505"/>
      <c r="L167" s="505"/>
      <c r="M167" s="505"/>
      <c r="N167" s="505"/>
      <c r="O167" s="505"/>
      <c r="P167" s="505"/>
      <c r="Q167" s="505"/>
      <c r="R167" s="505"/>
      <c r="S167" s="505"/>
      <c r="T167" s="505"/>
      <c r="U167" s="505"/>
      <c r="V167" s="505"/>
      <c r="W167" s="505"/>
    </row>
    <row r="168" spans="1:23" ht="9.9499999999999993" customHeight="1">
      <c r="A168" s="505"/>
      <c r="B168" s="505"/>
      <c r="C168" s="505"/>
      <c r="D168" s="505"/>
      <c r="E168" s="505"/>
      <c r="F168" s="505"/>
      <c r="G168" s="505"/>
      <c r="H168" s="505"/>
      <c r="I168" s="505"/>
      <c r="J168" s="505"/>
      <c r="K168" s="505"/>
      <c r="L168" s="505"/>
      <c r="M168" s="505"/>
      <c r="N168" s="505"/>
      <c r="O168" s="505"/>
      <c r="P168" s="505"/>
      <c r="Q168" s="505"/>
      <c r="R168" s="505"/>
      <c r="S168" s="505"/>
      <c r="T168" s="505"/>
      <c r="U168" s="505"/>
      <c r="V168" s="505"/>
      <c r="W168" s="505"/>
    </row>
    <row r="169" spans="1:23" ht="9.9499999999999993" customHeight="1">
      <c r="A169" s="505"/>
      <c r="B169" s="505"/>
      <c r="C169" s="505"/>
      <c r="D169" s="505"/>
      <c r="E169" s="505"/>
      <c r="F169" s="505"/>
      <c r="G169" s="505"/>
      <c r="H169" s="505"/>
      <c r="I169" s="505"/>
      <c r="J169" s="505"/>
      <c r="K169" s="505"/>
      <c r="L169" s="505"/>
      <c r="M169" s="505"/>
      <c r="N169" s="505"/>
      <c r="O169" s="505"/>
      <c r="P169" s="505"/>
      <c r="Q169" s="505"/>
      <c r="R169" s="505"/>
      <c r="S169" s="505"/>
      <c r="T169" s="505"/>
      <c r="U169" s="505"/>
      <c r="V169" s="505"/>
      <c r="W169" s="505"/>
    </row>
    <row r="170" spans="1:23" ht="9.9499999999999993" customHeight="1">
      <c r="A170" s="505"/>
      <c r="B170" s="505"/>
      <c r="C170" s="505"/>
      <c r="D170" s="505"/>
      <c r="E170" s="505"/>
      <c r="F170" s="505"/>
      <c r="G170" s="505"/>
      <c r="H170" s="505"/>
      <c r="I170" s="505"/>
      <c r="J170" s="505"/>
      <c r="K170" s="505"/>
      <c r="L170" s="505"/>
      <c r="M170" s="505"/>
      <c r="N170" s="505"/>
      <c r="O170" s="505"/>
      <c r="P170" s="505"/>
      <c r="Q170" s="505"/>
      <c r="R170" s="505"/>
      <c r="S170" s="505"/>
      <c r="T170" s="505"/>
      <c r="U170" s="505"/>
      <c r="V170" s="505"/>
      <c r="W170" s="505"/>
    </row>
    <row r="171" spans="1:23" ht="9.9499999999999993" customHeight="1">
      <c r="A171" s="505"/>
      <c r="B171" s="505"/>
      <c r="C171" s="505"/>
      <c r="D171" s="505"/>
      <c r="E171" s="505"/>
      <c r="F171" s="505"/>
      <c r="G171" s="505"/>
      <c r="H171" s="505"/>
      <c r="I171" s="505"/>
      <c r="J171" s="505"/>
      <c r="K171" s="505"/>
      <c r="L171" s="505"/>
      <c r="M171" s="505"/>
      <c r="N171" s="505"/>
      <c r="O171" s="505"/>
      <c r="P171" s="505"/>
      <c r="Q171" s="505"/>
      <c r="R171" s="505"/>
      <c r="S171" s="505"/>
      <c r="T171" s="505"/>
      <c r="U171" s="505"/>
      <c r="V171" s="505"/>
      <c r="W171" s="505"/>
    </row>
    <row r="172" spans="1:23" ht="9.9499999999999993" customHeight="1">
      <c r="A172" s="505"/>
      <c r="B172" s="505"/>
      <c r="C172" s="505"/>
      <c r="D172" s="505"/>
      <c r="E172" s="505"/>
      <c r="F172" s="505"/>
      <c r="G172" s="505"/>
      <c r="H172" s="505"/>
      <c r="I172" s="505"/>
      <c r="J172" s="505"/>
      <c r="K172" s="505"/>
      <c r="L172" s="505"/>
      <c r="M172" s="505"/>
      <c r="N172" s="505"/>
      <c r="O172" s="505"/>
      <c r="P172" s="505"/>
      <c r="Q172" s="505"/>
      <c r="R172" s="505"/>
      <c r="S172" s="505"/>
      <c r="T172" s="505"/>
      <c r="U172" s="505"/>
      <c r="V172" s="505"/>
      <c r="W172" s="505"/>
    </row>
    <row r="173" spans="1:23" ht="9.9499999999999993" customHeight="1">
      <c r="A173" s="505"/>
      <c r="B173" s="505"/>
      <c r="C173" s="505"/>
      <c r="D173" s="505"/>
      <c r="E173" s="505"/>
      <c r="F173" s="505"/>
      <c r="G173" s="505"/>
      <c r="H173" s="505"/>
      <c r="I173" s="505"/>
      <c r="J173" s="505"/>
      <c r="K173" s="505"/>
      <c r="L173" s="505"/>
      <c r="M173" s="505"/>
      <c r="N173" s="505"/>
      <c r="O173" s="505"/>
      <c r="P173" s="505"/>
      <c r="Q173" s="505"/>
      <c r="R173" s="505"/>
      <c r="S173" s="505"/>
      <c r="T173" s="505"/>
      <c r="U173" s="505"/>
      <c r="V173" s="505"/>
      <c r="W173" s="505"/>
    </row>
    <row r="174" spans="1:23" ht="9.9499999999999993" customHeight="1">
      <c r="A174" s="505"/>
      <c r="B174" s="505"/>
      <c r="C174" s="505"/>
      <c r="D174" s="505"/>
      <c r="E174" s="505"/>
      <c r="F174" s="505"/>
      <c r="G174" s="505"/>
      <c r="H174" s="505"/>
      <c r="I174" s="505"/>
      <c r="J174" s="505"/>
      <c r="K174" s="505"/>
      <c r="L174" s="505"/>
      <c r="M174" s="505"/>
      <c r="N174" s="505"/>
      <c r="O174" s="505"/>
      <c r="P174" s="505"/>
      <c r="Q174" s="505"/>
      <c r="R174" s="505"/>
      <c r="S174" s="505"/>
      <c r="T174" s="505"/>
      <c r="U174" s="505"/>
      <c r="V174" s="505"/>
      <c r="W174" s="505"/>
    </row>
    <row r="175" spans="1:23" ht="9.9499999999999993" customHeight="1">
      <c r="A175" s="505"/>
      <c r="B175" s="505"/>
      <c r="C175" s="505"/>
      <c r="D175" s="505"/>
      <c r="E175" s="505"/>
      <c r="F175" s="505"/>
      <c r="G175" s="505"/>
      <c r="H175" s="505"/>
      <c r="I175" s="505"/>
      <c r="J175" s="505"/>
      <c r="K175" s="505"/>
      <c r="L175" s="505"/>
      <c r="M175" s="505"/>
      <c r="N175" s="505"/>
      <c r="O175" s="505"/>
      <c r="P175" s="505"/>
      <c r="Q175" s="505"/>
      <c r="R175" s="505"/>
      <c r="S175" s="505"/>
      <c r="T175" s="505"/>
      <c r="U175" s="505"/>
      <c r="V175" s="505"/>
      <c r="W175" s="505"/>
    </row>
    <row r="176" spans="1:23" ht="9.9499999999999993" customHeight="1">
      <c r="A176" s="505"/>
      <c r="B176" s="505"/>
      <c r="C176" s="505"/>
      <c r="D176" s="505"/>
      <c r="E176" s="505"/>
      <c r="F176" s="505"/>
      <c r="G176" s="505"/>
      <c r="H176" s="505"/>
      <c r="I176" s="505"/>
      <c r="J176" s="505"/>
      <c r="K176" s="505"/>
      <c r="L176" s="505"/>
      <c r="M176" s="505"/>
      <c r="N176" s="505"/>
      <c r="O176" s="505"/>
      <c r="P176" s="505"/>
      <c r="Q176" s="505"/>
      <c r="R176" s="505"/>
      <c r="S176" s="505"/>
      <c r="T176" s="505"/>
      <c r="U176" s="505"/>
      <c r="V176" s="505"/>
      <c r="W176" s="505"/>
    </row>
    <row r="177" spans="1:23" ht="9.9499999999999993" customHeight="1">
      <c r="A177" s="505"/>
      <c r="B177" s="505"/>
      <c r="C177" s="505"/>
      <c r="D177" s="505"/>
      <c r="E177" s="505"/>
      <c r="F177" s="505"/>
      <c r="G177" s="505"/>
      <c r="H177" s="505"/>
      <c r="I177" s="505"/>
      <c r="J177" s="505"/>
      <c r="K177" s="505"/>
      <c r="L177" s="505"/>
      <c r="M177" s="505"/>
      <c r="N177" s="505"/>
      <c r="O177" s="505"/>
      <c r="P177" s="505"/>
      <c r="Q177" s="505"/>
      <c r="R177" s="505"/>
      <c r="S177" s="505"/>
      <c r="T177" s="505"/>
      <c r="U177" s="505"/>
      <c r="V177" s="505"/>
      <c r="W177" s="505"/>
    </row>
    <row r="178" spans="1:23" ht="9.9499999999999993" customHeight="1">
      <c r="A178" s="505"/>
      <c r="B178" s="505"/>
      <c r="C178" s="505"/>
      <c r="D178" s="505"/>
      <c r="E178" s="505"/>
      <c r="F178" s="505"/>
      <c r="G178" s="505"/>
      <c r="H178" s="505"/>
      <c r="I178" s="505"/>
      <c r="J178" s="505"/>
      <c r="K178" s="505"/>
      <c r="L178" s="505"/>
      <c r="M178" s="505"/>
      <c r="N178" s="505"/>
      <c r="O178" s="505"/>
      <c r="P178" s="505"/>
      <c r="Q178" s="505"/>
      <c r="R178" s="505"/>
      <c r="S178" s="505"/>
      <c r="T178" s="505"/>
      <c r="U178" s="505"/>
      <c r="V178" s="505"/>
      <c r="W178" s="505"/>
    </row>
    <row r="179" spans="1:23" ht="9.9499999999999993" customHeight="1">
      <c r="A179" s="505"/>
      <c r="B179" s="505"/>
      <c r="C179" s="505"/>
      <c r="D179" s="505"/>
      <c r="E179" s="505"/>
      <c r="F179" s="505"/>
      <c r="G179" s="505"/>
      <c r="H179" s="505"/>
      <c r="I179" s="505"/>
      <c r="J179" s="505"/>
      <c r="K179" s="505"/>
      <c r="L179" s="505"/>
      <c r="M179" s="505"/>
      <c r="N179" s="505"/>
      <c r="O179" s="505"/>
      <c r="P179" s="505"/>
      <c r="Q179" s="505"/>
      <c r="R179" s="505"/>
      <c r="S179" s="505"/>
      <c r="T179" s="505"/>
      <c r="U179" s="505"/>
      <c r="V179" s="505"/>
      <c r="W179" s="505"/>
    </row>
    <row r="180" spans="1:23" ht="9.9499999999999993" customHeight="1">
      <c r="A180" s="505"/>
      <c r="B180" s="505"/>
      <c r="C180" s="505"/>
      <c r="D180" s="505"/>
      <c r="E180" s="505"/>
      <c r="F180" s="505"/>
      <c r="G180" s="505"/>
      <c r="H180" s="505"/>
      <c r="I180" s="505"/>
      <c r="J180" s="505"/>
      <c r="K180" s="505"/>
      <c r="L180" s="505"/>
      <c r="M180" s="505"/>
      <c r="N180" s="505"/>
      <c r="O180" s="505"/>
      <c r="P180" s="505"/>
      <c r="Q180" s="505"/>
      <c r="R180" s="505"/>
      <c r="S180" s="505"/>
      <c r="T180" s="505"/>
      <c r="U180" s="505"/>
      <c r="V180" s="505"/>
      <c r="W180" s="505"/>
    </row>
    <row r="181" spans="1:23" ht="9.9499999999999993" customHeight="1">
      <c r="A181" s="505"/>
      <c r="B181" s="505"/>
      <c r="C181" s="505"/>
      <c r="D181" s="505"/>
      <c r="E181" s="505"/>
      <c r="F181" s="505"/>
      <c r="G181" s="505"/>
      <c r="H181" s="505"/>
      <c r="I181" s="505"/>
      <c r="J181" s="505"/>
      <c r="K181" s="505"/>
      <c r="L181" s="505"/>
      <c r="M181" s="505"/>
      <c r="N181" s="505"/>
      <c r="O181" s="505"/>
      <c r="P181" s="505"/>
      <c r="Q181" s="505"/>
      <c r="R181" s="505"/>
      <c r="S181" s="505"/>
      <c r="T181" s="505"/>
      <c r="U181" s="505"/>
      <c r="V181" s="505"/>
      <c r="W181" s="505"/>
    </row>
    <row r="182" spans="1:23" ht="9.9499999999999993" customHeight="1">
      <c r="A182" s="505"/>
      <c r="B182" s="505"/>
      <c r="C182" s="505"/>
      <c r="D182" s="505"/>
      <c r="E182" s="505"/>
      <c r="F182" s="505"/>
      <c r="G182" s="505"/>
      <c r="H182" s="505"/>
      <c r="I182" s="505"/>
      <c r="J182" s="505"/>
      <c r="K182" s="505"/>
      <c r="L182" s="505"/>
      <c r="M182" s="505"/>
      <c r="N182" s="505"/>
      <c r="O182" s="505"/>
      <c r="P182" s="505"/>
      <c r="Q182" s="505"/>
      <c r="R182" s="505"/>
      <c r="S182" s="505"/>
      <c r="T182" s="505"/>
      <c r="U182" s="505"/>
      <c r="V182" s="505"/>
      <c r="W182" s="505"/>
    </row>
    <row r="183" spans="1:23" ht="9.9499999999999993" customHeight="1">
      <c r="A183" s="505"/>
      <c r="B183" s="505"/>
      <c r="C183" s="505"/>
      <c r="D183" s="505"/>
      <c r="E183" s="505"/>
      <c r="F183" s="505"/>
      <c r="G183" s="505"/>
      <c r="H183" s="505"/>
      <c r="I183" s="505"/>
      <c r="J183" s="505"/>
      <c r="K183" s="505"/>
      <c r="L183" s="505"/>
      <c r="M183" s="505"/>
      <c r="N183" s="505"/>
      <c r="O183" s="505"/>
      <c r="P183" s="505"/>
      <c r="Q183" s="505"/>
      <c r="R183" s="505"/>
      <c r="S183" s="505"/>
      <c r="T183" s="505"/>
      <c r="U183" s="505"/>
      <c r="V183" s="505"/>
      <c r="W183" s="505"/>
    </row>
    <row r="184" spans="1:23" ht="9.9499999999999993" customHeight="1">
      <c r="A184" s="505"/>
      <c r="B184" s="505"/>
      <c r="C184" s="505"/>
      <c r="D184" s="505"/>
      <c r="E184" s="505"/>
      <c r="F184" s="505"/>
      <c r="G184" s="505"/>
      <c r="H184" s="505"/>
      <c r="I184" s="505"/>
      <c r="J184" s="505"/>
      <c r="K184" s="505"/>
      <c r="L184" s="505"/>
      <c r="M184" s="505"/>
      <c r="N184" s="505"/>
      <c r="O184" s="505"/>
      <c r="P184" s="505"/>
      <c r="Q184" s="505"/>
      <c r="R184" s="505"/>
      <c r="S184" s="505"/>
      <c r="T184" s="505"/>
      <c r="U184" s="505"/>
      <c r="V184" s="505"/>
      <c r="W184" s="505"/>
    </row>
    <row r="185" spans="1:23" ht="9.9499999999999993" customHeight="1">
      <c r="A185" s="505"/>
      <c r="B185" s="505"/>
      <c r="C185" s="505"/>
      <c r="D185" s="505"/>
      <c r="E185" s="505"/>
      <c r="F185" s="505"/>
      <c r="G185" s="505"/>
      <c r="H185" s="505"/>
      <c r="I185" s="505"/>
      <c r="J185" s="505"/>
      <c r="K185" s="505"/>
      <c r="L185" s="505"/>
      <c r="M185" s="505"/>
      <c r="N185" s="505"/>
      <c r="O185" s="505"/>
      <c r="P185" s="505"/>
      <c r="Q185" s="505"/>
      <c r="R185" s="505"/>
      <c r="S185" s="505"/>
      <c r="T185" s="505"/>
      <c r="U185" s="505"/>
      <c r="V185" s="505"/>
      <c r="W185" s="505"/>
    </row>
    <row r="186" spans="1:23" ht="9.9499999999999993" customHeight="1">
      <c r="A186" s="505"/>
      <c r="B186" s="505"/>
      <c r="C186" s="505"/>
      <c r="D186" s="505"/>
      <c r="E186" s="505"/>
      <c r="F186" s="505"/>
      <c r="G186" s="505"/>
      <c r="H186" s="505"/>
      <c r="I186" s="505"/>
      <c r="J186" s="505"/>
      <c r="K186" s="505"/>
      <c r="L186" s="505"/>
      <c r="M186" s="505"/>
      <c r="N186" s="505"/>
      <c r="O186" s="505"/>
      <c r="P186" s="505"/>
      <c r="Q186" s="505"/>
      <c r="R186" s="505"/>
      <c r="S186" s="505"/>
      <c r="T186" s="505"/>
      <c r="U186" s="505"/>
      <c r="V186" s="505"/>
      <c r="W186" s="505"/>
    </row>
    <row r="187" spans="1:23" ht="9.9499999999999993" customHeight="1">
      <c r="A187" s="505"/>
      <c r="B187" s="505"/>
      <c r="C187" s="505"/>
      <c r="D187" s="505"/>
      <c r="E187" s="505"/>
      <c r="F187" s="505"/>
      <c r="G187" s="505"/>
      <c r="H187" s="505"/>
      <c r="I187" s="505"/>
      <c r="J187" s="505"/>
      <c r="K187" s="505"/>
      <c r="L187" s="505"/>
      <c r="M187" s="505"/>
      <c r="N187" s="505"/>
      <c r="O187" s="505"/>
      <c r="P187" s="505"/>
      <c r="Q187" s="505"/>
      <c r="R187" s="505"/>
      <c r="S187" s="505"/>
      <c r="T187" s="505"/>
      <c r="U187" s="505"/>
      <c r="V187" s="505"/>
      <c r="W187" s="505"/>
    </row>
    <row r="188" spans="1:23" ht="9.9499999999999993" customHeight="1">
      <c r="A188" s="505"/>
      <c r="B188" s="505"/>
      <c r="C188" s="505"/>
      <c r="D188" s="505"/>
      <c r="E188" s="505"/>
      <c r="F188" s="505"/>
      <c r="G188" s="505"/>
      <c r="H188" s="505"/>
      <c r="I188" s="505"/>
      <c r="J188" s="505"/>
      <c r="K188" s="505"/>
      <c r="L188" s="505"/>
      <c r="M188" s="505"/>
      <c r="N188" s="505"/>
      <c r="O188" s="505"/>
      <c r="P188" s="505"/>
      <c r="Q188" s="505"/>
      <c r="R188" s="505"/>
      <c r="S188" s="505"/>
      <c r="T188" s="505"/>
      <c r="U188" s="505"/>
      <c r="V188" s="505"/>
      <c r="W188" s="505"/>
    </row>
    <row r="189" spans="1:23" ht="9.9499999999999993" customHeight="1">
      <c r="A189" s="505"/>
      <c r="B189" s="505"/>
      <c r="C189" s="505"/>
      <c r="D189" s="505"/>
      <c r="E189" s="505"/>
      <c r="F189" s="505"/>
      <c r="G189" s="505"/>
      <c r="H189" s="505"/>
      <c r="I189" s="505"/>
      <c r="J189" s="505"/>
      <c r="K189" s="505"/>
      <c r="L189" s="505"/>
      <c r="M189" s="505"/>
      <c r="N189" s="505"/>
      <c r="O189" s="505"/>
      <c r="P189" s="505"/>
      <c r="Q189" s="505"/>
      <c r="R189" s="505"/>
      <c r="S189" s="505"/>
      <c r="T189" s="505"/>
      <c r="U189" s="505"/>
      <c r="V189" s="505"/>
      <c r="W189" s="505"/>
    </row>
    <row r="190" spans="1:23" ht="9.9499999999999993" customHeight="1">
      <c r="A190" s="505"/>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row>
    <row r="191" spans="1:23" ht="9.9499999999999993" customHeight="1">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row>
    <row r="192" spans="1:23" ht="9.9499999999999993" customHeight="1">
      <c r="A192" s="505"/>
      <c r="B192" s="505"/>
      <c r="C192" s="505"/>
      <c r="D192" s="505"/>
      <c r="E192" s="505"/>
      <c r="F192" s="505"/>
      <c r="G192" s="505"/>
      <c r="H192" s="505"/>
      <c r="I192" s="505"/>
      <c r="J192" s="505"/>
      <c r="K192" s="505"/>
      <c r="L192" s="505"/>
      <c r="M192" s="505"/>
      <c r="N192" s="505"/>
      <c r="O192" s="505"/>
      <c r="P192" s="505"/>
      <c r="Q192" s="505"/>
      <c r="R192" s="505"/>
      <c r="S192" s="505"/>
      <c r="T192" s="505"/>
      <c r="U192" s="505"/>
      <c r="V192" s="505"/>
      <c r="W192" s="505"/>
    </row>
    <row r="193" spans="1:23" ht="9.9499999999999993" customHeight="1">
      <c r="A193" s="505"/>
      <c r="B193" s="505"/>
      <c r="C193" s="505"/>
      <c r="D193" s="505"/>
      <c r="E193" s="505"/>
      <c r="F193" s="505"/>
      <c r="G193" s="505"/>
      <c r="H193" s="505"/>
      <c r="I193" s="505"/>
      <c r="J193" s="505"/>
      <c r="K193" s="505"/>
      <c r="L193" s="505"/>
      <c r="M193" s="505"/>
      <c r="N193" s="505"/>
      <c r="O193" s="505"/>
      <c r="P193" s="505"/>
      <c r="Q193" s="505"/>
      <c r="R193" s="505"/>
      <c r="S193" s="505"/>
      <c r="T193" s="505"/>
      <c r="U193" s="505"/>
      <c r="V193" s="505"/>
      <c r="W193" s="505"/>
    </row>
    <row r="194" spans="1:23" ht="9.9499999999999993" customHeight="1">
      <c r="A194" s="505"/>
      <c r="B194" s="505"/>
      <c r="C194" s="505"/>
      <c r="D194" s="505"/>
      <c r="E194" s="505"/>
      <c r="F194" s="505"/>
      <c r="G194" s="505"/>
      <c r="H194" s="505"/>
      <c r="I194" s="505"/>
      <c r="J194" s="505"/>
      <c r="K194" s="505"/>
      <c r="L194" s="505"/>
      <c r="M194" s="505"/>
      <c r="N194" s="505"/>
      <c r="O194" s="505"/>
      <c r="P194" s="505"/>
      <c r="Q194" s="505"/>
      <c r="R194" s="505"/>
      <c r="S194" s="505"/>
      <c r="T194" s="505"/>
      <c r="U194" s="505"/>
      <c r="V194" s="505"/>
      <c r="W194" s="505"/>
    </row>
    <row r="195" spans="1:23" ht="9.9499999999999993" customHeight="1">
      <c r="A195" s="505"/>
      <c r="B195" s="505"/>
      <c r="C195" s="505"/>
      <c r="D195" s="505"/>
      <c r="E195" s="505"/>
      <c r="F195" s="505"/>
      <c r="G195" s="505"/>
      <c r="H195" s="505"/>
      <c r="I195" s="505"/>
      <c r="J195" s="505"/>
      <c r="K195" s="505"/>
      <c r="L195" s="505"/>
      <c r="M195" s="505"/>
      <c r="N195" s="505"/>
      <c r="O195" s="505"/>
      <c r="P195" s="505"/>
      <c r="Q195" s="505"/>
      <c r="R195" s="505"/>
      <c r="S195" s="505"/>
      <c r="T195" s="505"/>
      <c r="U195" s="505"/>
      <c r="V195" s="505"/>
      <c r="W195" s="505"/>
    </row>
    <row r="196" spans="1:23" ht="9.9499999999999993" customHeight="1">
      <c r="A196" s="505"/>
      <c r="B196" s="505"/>
      <c r="C196" s="505"/>
      <c r="D196" s="505"/>
      <c r="E196" s="505"/>
      <c r="F196" s="505"/>
      <c r="G196" s="505"/>
      <c r="H196" s="505"/>
      <c r="I196" s="505"/>
      <c r="J196" s="505"/>
      <c r="K196" s="505"/>
      <c r="L196" s="505"/>
      <c r="M196" s="505"/>
      <c r="N196" s="505"/>
      <c r="O196" s="505"/>
      <c r="P196" s="505"/>
      <c r="Q196" s="505"/>
      <c r="R196" s="505"/>
      <c r="S196" s="505"/>
      <c r="T196" s="505"/>
      <c r="U196" s="505"/>
      <c r="V196" s="505"/>
      <c r="W196" s="505"/>
    </row>
    <row r="197" spans="1:23" ht="9.9499999999999993" customHeight="1">
      <c r="A197" s="505"/>
      <c r="B197" s="505"/>
      <c r="C197" s="505"/>
      <c r="D197" s="505"/>
      <c r="E197" s="505"/>
      <c r="F197" s="505"/>
      <c r="G197" s="505"/>
      <c r="H197" s="505"/>
      <c r="I197" s="505"/>
      <c r="J197" s="505"/>
      <c r="K197" s="505"/>
      <c r="L197" s="505"/>
      <c r="M197" s="505"/>
      <c r="N197" s="505"/>
      <c r="O197" s="505"/>
      <c r="P197" s="505"/>
      <c r="Q197" s="505"/>
      <c r="R197" s="505"/>
      <c r="S197" s="505"/>
      <c r="T197" s="505"/>
      <c r="U197" s="505"/>
      <c r="V197" s="505"/>
      <c r="W197" s="505"/>
    </row>
    <row r="198" spans="1:23" ht="9.9499999999999993" customHeight="1">
      <c r="A198" s="505"/>
      <c r="B198" s="505"/>
      <c r="C198" s="505"/>
      <c r="D198" s="505"/>
      <c r="E198" s="505"/>
      <c r="F198" s="505"/>
      <c r="G198" s="505"/>
      <c r="H198" s="505"/>
      <c r="I198" s="505"/>
      <c r="J198" s="505"/>
      <c r="K198" s="505"/>
      <c r="L198" s="505"/>
      <c r="M198" s="505"/>
      <c r="N198" s="505"/>
      <c r="O198" s="505"/>
      <c r="P198" s="505"/>
      <c r="Q198" s="505"/>
      <c r="R198" s="505"/>
      <c r="S198" s="505"/>
      <c r="T198" s="505"/>
      <c r="U198" s="505"/>
      <c r="V198" s="505"/>
      <c r="W198" s="505"/>
    </row>
    <row r="199" spans="1:23" ht="9.9499999999999993" customHeight="1">
      <c r="A199" s="505"/>
      <c r="B199" s="505"/>
      <c r="C199" s="505"/>
      <c r="D199" s="505"/>
      <c r="E199" s="505"/>
      <c r="F199" s="505"/>
      <c r="G199" s="505"/>
      <c r="H199" s="505"/>
      <c r="I199" s="505"/>
      <c r="J199" s="505"/>
      <c r="K199" s="505"/>
      <c r="L199" s="505"/>
      <c r="M199" s="505"/>
      <c r="N199" s="505"/>
      <c r="O199" s="505"/>
      <c r="P199" s="505"/>
      <c r="Q199" s="505"/>
      <c r="R199" s="505"/>
      <c r="S199" s="505"/>
      <c r="T199" s="505"/>
      <c r="U199" s="505"/>
      <c r="V199" s="505"/>
      <c r="W199" s="505"/>
    </row>
    <row r="200" spans="1:23" ht="9.9499999999999993" customHeight="1">
      <c r="A200" s="505"/>
      <c r="B200" s="505"/>
      <c r="C200" s="505"/>
      <c r="D200" s="505"/>
      <c r="E200" s="505"/>
      <c r="F200" s="505"/>
      <c r="G200" s="505"/>
      <c r="H200" s="505"/>
      <c r="I200" s="505"/>
      <c r="J200" s="505"/>
      <c r="K200" s="505"/>
      <c r="L200" s="505"/>
      <c r="M200" s="505"/>
      <c r="N200" s="505"/>
      <c r="O200" s="505"/>
      <c r="P200" s="505"/>
      <c r="Q200" s="505"/>
      <c r="R200" s="505"/>
      <c r="S200" s="505"/>
      <c r="T200" s="505"/>
      <c r="U200" s="505"/>
      <c r="V200" s="505"/>
      <c r="W200" s="505"/>
    </row>
    <row r="201" spans="1:23" ht="9.9499999999999993" customHeight="1">
      <c r="A201" s="505"/>
      <c r="B201" s="505"/>
      <c r="C201" s="505"/>
      <c r="D201" s="505"/>
      <c r="E201" s="505"/>
      <c r="F201" s="505"/>
      <c r="G201" s="505"/>
      <c r="H201" s="505"/>
      <c r="I201" s="505"/>
      <c r="J201" s="505"/>
      <c r="K201" s="505"/>
      <c r="L201" s="505"/>
      <c r="M201" s="505"/>
      <c r="N201" s="505"/>
      <c r="O201" s="505"/>
      <c r="P201" s="505"/>
      <c r="Q201" s="505"/>
      <c r="R201" s="505"/>
      <c r="S201" s="505"/>
      <c r="T201" s="505"/>
      <c r="U201" s="505"/>
      <c r="V201" s="505"/>
      <c r="W201" s="505"/>
    </row>
    <row r="202" spans="1:23" ht="9.9499999999999993" customHeight="1">
      <c r="A202" s="505"/>
      <c r="B202" s="505"/>
      <c r="C202" s="505"/>
      <c r="D202" s="505"/>
      <c r="E202" s="505"/>
      <c r="F202" s="505"/>
      <c r="G202" s="505"/>
      <c r="H202" s="505"/>
      <c r="I202" s="505"/>
      <c r="J202" s="505"/>
      <c r="K202" s="505"/>
      <c r="L202" s="505"/>
      <c r="M202" s="505"/>
      <c r="N202" s="505"/>
      <c r="O202" s="505"/>
      <c r="P202" s="505"/>
      <c r="Q202" s="505"/>
      <c r="R202" s="505"/>
      <c r="S202" s="505"/>
      <c r="T202" s="505"/>
      <c r="U202" s="505"/>
      <c r="V202" s="505"/>
      <c r="W202" s="505"/>
    </row>
    <row r="203" spans="1:23" ht="9.9499999999999993" customHeight="1">
      <c r="A203" s="505"/>
      <c r="B203" s="505"/>
      <c r="C203" s="505"/>
      <c r="D203" s="505"/>
      <c r="E203" s="505"/>
      <c r="F203" s="505"/>
      <c r="G203" s="505"/>
      <c r="H203" s="505"/>
      <c r="I203" s="505"/>
      <c r="J203" s="505"/>
      <c r="K203" s="505"/>
      <c r="L203" s="505"/>
      <c r="M203" s="505"/>
      <c r="N203" s="505"/>
      <c r="O203" s="505"/>
      <c r="P203" s="505"/>
      <c r="Q203" s="505"/>
      <c r="R203" s="505"/>
      <c r="S203" s="505"/>
      <c r="T203" s="505"/>
      <c r="U203" s="505"/>
      <c r="V203" s="505"/>
      <c r="W203" s="505"/>
    </row>
    <row r="204" spans="1:23" ht="9.9499999999999993" customHeight="1">
      <c r="A204" s="505"/>
      <c r="B204" s="505"/>
      <c r="C204" s="505"/>
      <c r="D204" s="505"/>
      <c r="E204" s="505"/>
      <c r="F204" s="505"/>
      <c r="G204" s="505"/>
      <c r="H204" s="505"/>
      <c r="I204" s="505"/>
      <c r="J204" s="505"/>
      <c r="K204" s="505"/>
      <c r="L204" s="505"/>
      <c r="M204" s="505"/>
      <c r="N204" s="505"/>
      <c r="O204" s="505"/>
      <c r="P204" s="505"/>
      <c r="Q204" s="505"/>
      <c r="R204" s="505"/>
      <c r="S204" s="505"/>
      <c r="T204" s="505"/>
      <c r="U204" s="505"/>
      <c r="V204" s="505"/>
      <c r="W204" s="505"/>
    </row>
    <row r="205" spans="1:23" ht="9.9499999999999993" customHeight="1">
      <c r="A205" s="505"/>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row>
    <row r="206" spans="1:23" ht="9.9499999999999993" customHeight="1">
      <c r="A206" s="505"/>
      <c r="B206" s="505"/>
      <c r="C206" s="505"/>
      <c r="D206" s="505"/>
      <c r="E206" s="505"/>
      <c r="F206" s="505"/>
      <c r="G206" s="505"/>
      <c r="H206" s="505"/>
      <c r="I206" s="505"/>
      <c r="J206" s="505"/>
      <c r="K206" s="505"/>
      <c r="L206" s="505"/>
      <c r="M206" s="505"/>
      <c r="N206" s="505"/>
      <c r="O206" s="505"/>
      <c r="P206" s="505"/>
      <c r="Q206" s="505"/>
      <c r="R206" s="505"/>
      <c r="S206" s="505"/>
      <c r="T206" s="505"/>
      <c r="U206" s="505"/>
      <c r="V206" s="505"/>
      <c r="W206" s="505"/>
    </row>
    <row r="207" spans="1:23" ht="9.9499999999999993" customHeight="1">
      <c r="A207" s="505"/>
      <c r="B207" s="505"/>
      <c r="C207" s="505"/>
      <c r="D207" s="505"/>
      <c r="E207" s="505"/>
      <c r="F207" s="505"/>
      <c r="G207" s="505"/>
      <c r="H207" s="505"/>
      <c r="I207" s="505"/>
      <c r="J207" s="505"/>
      <c r="K207" s="505"/>
      <c r="L207" s="505"/>
      <c r="M207" s="505"/>
      <c r="N207" s="505"/>
      <c r="O207" s="505"/>
      <c r="P207" s="505"/>
      <c r="Q207" s="505"/>
      <c r="R207" s="505"/>
      <c r="S207" s="505"/>
      <c r="T207" s="505"/>
      <c r="U207" s="505"/>
      <c r="V207" s="505"/>
      <c r="W207" s="505"/>
    </row>
    <row r="208" spans="1:23" ht="9.9499999999999993" customHeight="1">
      <c r="A208" s="505"/>
      <c r="B208" s="505"/>
      <c r="C208" s="505"/>
      <c r="D208" s="505"/>
      <c r="E208" s="505"/>
      <c r="F208" s="505"/>
      <c r="G208" s="505"/>
      <c r="H208" s="505"/>
      <c r="I208" s="505"/>
      <c r="J208" s="505"/>
      <c r="K208" s="505"/>
      <c r="L208" s="505"/>
      <c r="M208" s="505"/>
      <c r="N208" s="505"/>
      <c r="O208" s="505"/>
      <c r="P208" s="505"/>
      <c r="Q208" s="505"/>
      <c r="R208" s="505"/>
      <c r="S208" s="505"/>
      <c r="T208" s="505"/>
      <c r="U208" s="505"/>
      <c r="V208" s="505"/>
      <c r="W208" s="505"/>
    </row>
    <row r="209" spans="1:23" ht="9.9499999999999993" customHeight="1">
      <c r="A209" s="505"/>
      <c r="B209" s="505"/>
      <c r="C209" s="505"/>
      <c r="D209" s="505"/>
      <c r="E209" s="505"/>
      <c r="F209" s="505"/>
      <c r="G209" s="505"/>
      <c r="H209" s="505"/>
      <c r="I209" s="505"/>
      <c r="J209" s="505"/>
      <c r="K209" s="505"/>
      <c r="L209" s="505"/>
      <c r="M209" s="505"/>
      <c r="N209" s="505"/>
      <c r="O209" s="505"/>
      <c r="P209" s="505"/>
      <c r="Q209" s="505"/>
      <c r="R209" s="505"/>
      <c r="S209" s="505"/>
      <c r="T209" s="505"/>
      <c r="U209" s="505"/>
      <c r="V209" s="505"/>
      <c r="W209" s="505"/>
    </row>
    <row r="210" spans="1:23" ht="9.9499999999999993" customHeight="1">
      <c r="A210" s="505"/>
      <c r="B210" s="505"/>
      <c r="C210" s="505"/>
      <c r="D210" s="505"/>
      <c r="E210" s="505"/>
      <c r="F210" s="505"/>
      <c r="G210" s="505"/>
      <c r="H210" s="505"/>
      <c r="I210" s="505"/>
      <c r="J210" s="505"/>
      <c r="K210" s="505"/>
      <c r="L210" s="505"/>
      <c r="M210" s="505"/>
      <c r="N210" s="505"/>
      <c r="O210" s="505"/>
      <c r="P210" s="505"/>
      <c r="Q210" s="505"/>
      <c r="R210" s="505"/>
      <c r="S210" s="505"/>
      <c r="T210" s="505"/>
      <c r="U210" s="505"/>
      <c r="V210" s="505"/>
      <c r="W210" s="505"/>
    </row>
    <row r="211" spans="1:23" ht="9.9499999999999993" customHeight="1">
      <c r="A211" s="505"/>
      <c r="B211" s="505"/>
      <c r="C211" s="505"/>
      <c r="D211" s="505"/>
      <c r="E211" s="505"/>
      <c r="F211" s="505"/>
      <c r="G211" s="505"/>
      <c r="H211" s="505"/>
      <c r="I211" s="505"/>
      <c r="J211" s="505"/>
      <c r="K211" s="505"/>
      <c r="L211" s="505"/>
      <c r="M211" s="505"/>
      <c r="N211" s="505"/>
      <c r="O211" s="505"/>
      <c r="P211" s="505"/>
      <c r="Q211" s="505"/>
      <c r="R211" s="505"/>
      <c r="S211" s="505"/>
      <c r="T211" s="505"/>
      <c r="U211" s="505"/>
      <c r="V211" s="505"/>
      <c r="W211" s="505"/>
    </row>
    <row r="212" spans="1:23" ht="9.9499999999999993" customHeight="1">
      <c r="A212" s="505"/>
      <c r="B212" s="505"/>
      <c r="C212" s="505"/>
      <c r="D212" s="505"/>
      <c r="E212" s="505"/>
      <c r="F212" s="505"/>
      <c r="G212" s="505"/>
      <c r="H212" s="505"/>
      <c r="I212" s="505"/>
      <c r="J212" s="505"/>
      <c r="K212" s="505"/>
      <c r="L212" s="505"/>
      <c r="M212" s="505"/>
      <c r="N212" s="505"/>
      <c r="O212" s="505"/>
      <c r="P212" s="505"/>
      <c r="Q212" s="505"/>
      <c r="R212" s="505"/>
      <c r="S212" s="505"/>
      <c r="T212" s="505"/>
      <c r="U212" s="505"/>
      <c r="V212" s="505"/>
      <c r="W212" s="505"/>
    </row>
    <row r="213" spans="1:23" ht="9.9499999999999993" customHeight="1">
      <c r="A213" s="505"/>
      <c r="B213" s="505"/>
      <c r="C213" s="505"/>
      <c r="D213" s="505"/>
      <c r="E213" s="505"/>
      <c r="F213" s="505"/>
      <c r="G213" s="505"/>
      <c r="H213" s="505"/>
      <c r="I213" s="505"/>
      <c r="J213" s="505"/>
      <c r="K213" s="505"/>
      <c r="L213" s="505"/>
      <c r="M213" s="505"/>
      <c r="N213" s="505"/>
      <c r="O213" s="505"/>
      <c r="P213" s="505"/>
      <c r="Q213" s="505"/>
      <c r="R213" s="505"/>
      <c r="S213" s="505"/>
      <c r="T213" s="505"/>
      <c r="U213" s="505"/>
      <c r="V213" s="505"/>
      <c r="W213" s="505"/>
    </row>
    <row r="214" spans="1:23" ht="9.9499999999999993" customHeight="1">
      <c r="A214" s="505"/>
      <c r="B214" s="505"/>
      <c r="C214" s="505"/>
      <c r="D214" s="505"/>
      <c r="E214" s="505"/>
      <c r="F214" s="505"/>
      <c r="G214" s="505"/>
      <c r="H214" s="505"/>
      <c r="I214" s="505"/>
      <c r="J214" s="505"/>
      <c r="K214" s="505"/>
      <c r="L214" s="505"/>
      <c r="M214" s="505"/>
      <c r="N214" s="505"/>
      <c r="O214" s="505"/>
      <c r="P214" s="505"/>
      <c r="Q214" s="505"/>
      <c r="R214" s="505"/>
      <c r="S214" s="505"/>
      <c r="T214" s="505"/>
      <c r="U214" s="505"/>
      <c r="V214" s="505"/>
      <c r="W214" s="505"/>
    </row>
    <row r="215" spans="1:23" ht="9.9499999999999993" customHeight="1">
      <c r="A215" s="505"/>
      <c r="B215" s="505"/>
      <c r="C215" s="505"/>
      <c r="D215" s="505"/>
      <c r="E215" s="505"/>
      <c r="F215" s="505"/>
      <c r="G215" s="505"/>
      <c r="H215" s="505"/>
      <c r="I215" s="505"/>
      <c r="J215" s="505"/>
      <c r="K215" s="505"/>
      <c r="L215" s="505"/>
      <c r="M215" s="505"/>
      <c r="N215" s="505"/>
      <c r="O215" s="505"/>
      <c r="P215" s="505"/>
      <c r="Q215" s="505"/>
      <c r="R215" s="505"/>
      <c r="S215" s="505"/>
      <c r="T215" s="505"/>
      <c r="U215" s="505"/>
      <c r="V215" s="505"/>
      <c r="W215" s="505"/>
    </row>
    <row r="216" spans="1:23" ht="9.9499999999999993" customHeight="1">
      <c r="A216" s="505"/>
      <c r="B216" s="505"/>
      <c r="C216" s="505"/>
      <c r="D216" s="505"/>
      <c r="E216" s="505"/>
      <c r="F216" s="505"/>
      <c r="G216" s="505"/>
      <c r="H216" s="505"/>
      <c r="I216" s="505"/>
      <c r="J216" s="505"/>
      <c r="K216" s="505"/>
      <c r="L216" s="505"/>
      <c r="M216" s="505"/>
      <c r="N216" s="505"/>
      <c r="O216" s="505"/>
      <c r="P216" s="505"/>
      <c r="Q216" s="505"/>
      <c r="R216" s="505"/>
      <c r="S216" s="505"/>
      <c r="T216" s="505"/>
      <c r="U216" s="505"/>
      <c r="V216" s="505"/>
      <c r="W216" s="505"/>
    </row>
    <row r="217" spans="1:23" ht="9.9499999999999993" customHeight="1">
      <c r="A217" s="505"/>
      <c r="B217" s="505"/>
      <c r="C217" s="505"/>
      <c r="D217" s="505"/>
      <c r="E217" s="505"/>
      <c r="F217" s="505"/>
      <c r="G217" s="505"/>
      <c r="H217" s="505"/>
      <c r="I217" s="505"/>
      <c r="J217" s="505"/>
      <c r="K217" s="505"/>
      <c r="L217" s="505"/>
      <c r="M217" s="505"/>
      <c r="N217" s="505"/>
      <c r="O217" s="505"/>
      <c r="P217" s="505"/>
      <c r="Q217" s="505"/>
      <c r="R217" s="505"/>
      <c r="S217" s="505"/>
      <c r="T217" s="505"/>
      <c r="U217" s="505"/>
      <c r="V217" s="505"/>
      <c r="W217" s="505"/>
    </row>
    <row r="218" spans="1:23" ht="9.9499999999999993" customHeight="1">
      <c r="A218" s="505"/>
      <c r="B218" s="505"/>
      <c r="C218" s="505"/>
      <c r="D218" s="505"/>
      <c r="E218" s="505"/>
      <c r="F218" s="505"/>
      <c r="G218" s="505"/>
      <c r="H218" s="505"/>
      <c r="I218" s="505"/>
      <c r="J218" s="505"/>
      <c r="K218" s="505"/>
      <c r="L218" s="505"/>
      <c r="M218" s="505"/>
      <c r="N218" s="505"/>
      <c r="O218" s="505"/>
      <c r="P218" s="505"/>
      <c r="Q218" s="505"/>
      <c r="R218" s="505"/>
      <c r="S218" s="505"/>
      <c r="T218" s="505"/>
      <c r="U218" s="505"/>
      <c r="V218" s="505"/>
      <c r="W218" s="505"/>
    </row>
    <row r="219" spans="1:23" ht="9.9499999999999993" customHeight="1">
      <c r="A219" s="505"/>
      <c r="B219" s="505"/>
      <c r="C219" s="505"/>
      <c r="D219" s="505"/>
      <c r="E219" s="505"/>
      <c r="F219" s="505"/>
      <c r="G219" s="505"/>
      <c r="H219" s="505"/>
      <c r="I219" s="505"/>
      <c r="J219" s="505"/>
      <c r="K219" s="505"/>
      <c r="L219" s="505"/>
      <c r="M219" s="505"/>
      <c r="N219" s="505"/>
      <c r="O219" s="505"/>
      <c r="P219" s="505"/>
      <c r="Q219" s="505"/>
      <c r="R219" s="505"/>
      <c r="S219" s="505"/>
      <c r="T219" s="505"/>
      <c r="U219" s="505"/>
      <c r="V219" s="505"/>
      <c r="W219" s="505"/>
    </row>
    <row r="220" spans="1:23" ht="9.9499999999999993" customHeight="1">
      <c r="A220" s="505"/>
      <c r="B220" s="505"/>
      <c r="C220" s="505"/>
      <c r="D220" s="505"/>
      <c r="E220" s="505"/>
      <c r="F220" s="505"/>
      <c r="G220" s="505"/>
      <c r="H220" s="505"/>
      <c r="I220" s="505"/>
      <c r="J220" s="505"/>
      <c r="K220" s="505"/>
      <c r="L220" s="505"/>
      <c r="M220" s="505"/>
      <c r="N220" s="505"/>
      <c r="O220" s="505"/>
      <c r="P220" s="505"/>
      <c r="Q220" s="505"/>
      <c r="R220" s="505"/>
      <c r="S220" s="505"/>
      <c r="T220" s="505"/>
      <c r="U220" s="505"/>
      <c r="V220" s="505"/>
      <c r="W220" s="505"/>
    </row>
    <row r="221" spans="1:23" ht="9.9499999999999993" customHeight="1">
      <c r="A221" s="505"/>
      <c r="B221" s="505"/>
      <c r="C221" s="505"/>
      <c r="D221" s="505"/>
      <c r="E221" s="505"/>
      <c r="F221" s="505"/>
      <c r="G221" s="505"/>
      <c r="H221" s="505"/>
      <c r="I221" s="505"/>
      <c r="J221" s="505"/>
      <c r="K221" s="505"/>
      <c r="L221" s="505"/>
      <c r="M221" s="505"/>
      <c r="N221" s="505"/>
      <c r="O221" s="505"/>
      <c r="P221" s="505"/>
      <c r="Q221" s="505"/>
      <c r="R221" s="505"/>
      <c r="S221" s="505"/>
      <c r="T221" s="505"/>
      <c r="U221" s="505"/>
      <c r="V221" s="505"/>
      <c r="W221" s="505"/>
    </row>
    <row r="222" spans="1:23" ht="9.9499999999999993" customHeight="1">
      <c r="A222" s="505"/>
      <c r="B222" s="505"/>
      <c r="C222" s="505"/>
      <c r="D222" s="505"/>
      <c r="E222" s="505"/>
      <c r="F222" s="505"/>
      <c r="G222" s="505"/>
      <c r="H222" s="505"/>
      <c r="I222" s="505"/>
      <c r="J222" s="505"/>
      <c r="K222" s="505"/>
      <c r="L222" s="505"/>
      <c r="M222" s="505"/>
      <c r="N222" s="505"/>
      <c r="O222" s="505"/>
      <c r="P222" s="505"/>
      <c r="Q222" s="505"/>
      <c r="R222" s="505"/>
      <c r="S222" s="505"/>
      <c r="T222" s="505"/>
      <c r="U222" s="505"/>
      <c r="V222" s="505"/>
      <c r="W222" s="505"/>
    </row>
    <row r="223" spans="1:23" ht="9.9499999999999993" customHeight="1">
      <c r="A223" s="505"/>
      <c r="B223" s="505"/>
      <c r="C223" s="505"/>
      <c r="D223" s="505"/>
      <c r="E223" s="505"/>
      <c r="F223" s="505"/>
      <c r="G223" s="505"/>
      <c r="H223" s="505"/>
      <c r="I223" s="505"/>
      <c r="J223" s="505"/>
      <c r="K223" s="505"/>
      <c r="L223" s="505"/>
      <c r="M223" s="505"/>
      <c r="N223" s="505"/>
      <c r="O223" s="505"/>
      <c r="P223" s="505"/>
      <c r="Q223" s="505"/>
      <c r="R223" s="505"/>
      <c r="S223" s="505"/>
      <c r="T223" s="505"/>
      <c r="U223" s="505"/>
      <c r="V223" s="505"/>
      <c r="W223" s="505"/>
    </row>
    <row r="224" spans="1:23" ht="9.9499999999999993" customHeight="1">
      <c r="A224" s="505"/>
      <c r="B224" s="505"/>
      <c r="C224" s="505"/>
      <c r="D224" s="505"/>
      <c r="E224" s="505"/>
      <c r="F224" s="505"/>
      <c r="G224" s="505"/>
      <c r="H224" s="505"/>
      <c r="I224" s="505"/>
      <c r="J224" s="505"/>
      <c r="K224" s="505"/>
      <c r="L224" s="505"/>
      <c r="M224" s="505"/>
      <c r="N224" s="505"/>
      <c r="O224" s="505"/>
      <c r="P224" s="505"/>
      <c r="Q224" s="505"/>
      <c r="R224" s="505"/>
      <c r="S224" s="505"/>
      <c r="T224" s="505"/>
      <c r="U224" s="505"/>
      <c r="V224" s="505"/>
      <c r="W224" s="505"/>
    </row>
    <row r="225" spans="1:23" ht="9.9499999999999993" customHeight="1">
      <c r="A225" s="505"/>
      <c r="B225" s="505"/>
      <c r="C225" s="505"/>
      <c r="D225" s="505"/>
      <c r="E225" s="505"/>
      <c r="F225" s="505"/>
      <c r="G225" s="505"/>
      <c r="H225" s="505"/>
      <c r="I225" s="505"/>
      <c r="J225" s="505"/>
      <c r="K225" s="505"/>
      <c r="L225" s="505"/>
      <c r="M225" s="505"/>
      <c r="N225" s="505"/>
      <c r="O225" s="505"/>
      <c r="P225" s="505"/>
      <c r="Q225" s="505"/>
      <c r="R225" s="505"/>
      <c r="S225" s="505"/>
      <c r="T225" s="505"/>
      <c r="U225" s="505"/>
      <c r="V225" s="505"/>
      <c r="W225" s="505"/>
    </row>
    <row r="226" spans="1:23" ht="9.9499999999999993" customHeight="1">
      <c r="A226" s="505"/>
      <c r="B226" s="505"/>
      <c r="C226" s="505"/>
      <c r="D226" s="505"/>
      <c r="E226" s="505"/>
      <c r="F226" s="505"/>
      <c r="G226" s="505"/>
      <c r="H226" s="505"/>
      <c r="I226" s="505"/>
      <c r="J226" s="505"/>
      <c r="K226" s="505"/>
      <c r="L226" s="505"/>
      <c r="M226" s="505"/>
      <c r="N226" s="505"/>
      <c r="O226" s="505"/>
      <c r="P226" s="505"/>
      <c r="Q226" s="505"/>
      <c r="R226" s="505"/>
      <c r="S226" s="505"/>
      <c r="T226" s="505"/>
      <c r="U226" s="505"/>
      <c r="V226" s="505"/>
      <c r="W226" s="505"/>
    </row>
    <row r="227" spans="1:23" ht="9.9499999999999993" customHeight="1">
      <c r="A227" s="505"/>
      <c r="B227" s="505"/>
      <c r="C227" s="505"/>
      <c r="D227" s="505"/>
      <c r="E227" s="505"/>
      <c r="F227" s="505"/>
      <c r="G227" s="505"/>
      <c r="H227" s="505"/>
      <c r="I227" s="505"/>
      <c r="J227" s="505"/>
      <c r="K227" s="505"/>
      <c r="L227" s="505"/>
      <c r="M227" s="505"/>
      <c r="N227" s="505"/>
      <c r="O227" s="505"/>
      <c r="P227" s="505"/>
      <c r="Q227" s="505"/>
      <c r="R227" s="505"/>
      <c r="S227" s="505"/>
      <c r="T227" s="505"/>
      <c r="U227" s="505"/>
      <c r="V227" s="505"/>
      <c r="W227" s="505"/>
    </row>
    <row r="228" spans="1:23" ht="9.9499999999999993" customHeight="1">
      <c r="A228" s="505"/>
      <c r="B228" s="505"/>
      <c r="C228" s="505"/>
      <c r="D228" s="505"/>
      <c r="E228" s="505"/>
      <c r="F228" s="505"/>
      <c r="G228" s="505"/>
      <c r="H228" s="505"/>
      <c r="I228" s="505"/>
      <c r="J228" s="505"/>
      <c r="K228" s="505"/>
      <c r="L228" s="505"/>
      <c r="M228" s="505"/>
      <c r="N228" s="505"/>
      <c r="O228" s="505"/>
      <c r="P228" s="505"/>
      <c r="Q228" s="505"/>
      <c r="R228" s="505"/>
      <c r="S228" s="505"/>
      <c r="T228" s="505"/>
      <c r="U228" s="505"/>
      <c r="V228" s="505"/>
      <c r="W228" s="505"/>
    </row>
    <row r="229" spans="1:23" ht="9.9499999999999993" customHeight="1">
      <c r="A229" s="505"/>
      <c r="B229" s="505"/>
      <c r="C229" s="505"/>
      <c r="D229" s="505"/>
      <c r="E229" s="505"/>
      <c r="F229" s="505"/>
      <c r="G229" s="505"/>
      <c r="H229" s="505"/>
      <c r="I229" s="505"/>
      <c r="J229" s="505"/>
      <c r="K229" s="505"/>
      <c r="L229" s="505"/>
      <c r="M229" s="505"/>
      <c r="N229" s="505"/>
      <c r="O229" s="505"/>
      <c r="P229" s="505"/>
      <c r="Q229" s="505"/>
      <c r="R229" s="505"/>
      <c r="S229" s="505"/>
      <c r="T229" s="505"/>
      <c r="U229" s="505"/>
      <c r="V229" s="505"/>
      <c r="W229" s="505"/>
    </row>
    <row r="230" spans="1:23" ht="9.9499999999999993" customHeight="1">
      <c r="A230" s="505"/>
      <c r="B230" s="505"/>
      <c r="C230" s="505"/>
      <c r="D230" s="505"/>
      <c r="E230" s="505"/>
      <c r="F230" s="505"/>
      <c r="G230" s="505"/>
      <c r="H230" s="505"/>
      <c r="I230" s="505"/>
      <c r="J230" s="505"/>
      <c r="K230" s="505"/>
      <c r="L230" s="505"/>
      <c r="M230" s="505"/>
      <c r="N230" s="505"/>
      <c r="O230" s="505"/>
      <c r="P230" s="505"/>
      <c r="Q230" s="505"/>
      <c r="R230" s="505"/>
      <c r="S230" s="505"/>
      <c r="T230" s="505"/>
      <c r="U230" s="505"/>
      <c r="V230" s="505"/>
      <c r="W230" s="505"/>
    </row>
    <row r="231" spans="1:23" ht="9.9499999999999993" customHeight="1">
      <c r="A231" s="505"/>
      <c r="B231" s="505"/>
      <c r="C231" s="505"/>
      <c r="D231" s="505"/>
      <c r="E231" s="505"/>
      <c r="F231" s="505"/>
      <c r="G231" s="505"/>
      <c r="H231" s="505"/>
      <c r="I231" s="505"/>
      <c r="J231" s="505"/>
      <c r="K231" s="505"/>
      <c r="L231" s="505"/>
      <c r="M231" s="505"/>
      <c r="N231" s="505"/>
      <c r="O231" s="505"/>
      <c r="P231" s="505"/>
      <c r="Q231" s="505"/>
      <c r="R231" s="505"/>
      <c r="S231" s="505"/>
      <c r="T231" s="505"/>
      <c r="U231" s="505"/>
      <c r="V231" s="505"/>
      <c r="W231" s="505"/>
    </row>
    <row r="232" spans="1:23" ht="9.9499999999999993" customHeight="1">
      <c r="A232" s="505"/>
      <c r="B232" s="505"/>
      <c r="C232" s="505"/>
      <c r="D232" s="505"/>
      <c r="E232" s="505"/>
      <c r="F232" s="505"/>
      <c r="G232" s="505"/>
      <c r="H232" s="505"/>
      <c r="I232" s="505"/>
      <c r="J232" s="505"/>
      <c r="K232" s="505"/>
      <c r="L232" s="505"/>
      <c r="M232" s="505"/>
      <c r="N232" s="505"/>
      <c r="O232" s="505"/>
      <c r="P232" s="505"/>
      <c r="Q232" s="505"/>
      <c r="R232" s="505"/>
      <c r="S232" s="505"/>
      <c r="T232" s="505"/>
      <c r="U232" s="505"/>
      <c r="V232" s="505"/>
      <c r="W232" s="505"/>
    </row>
    <row r="233" spans="1:23" ht="9.9499999999999993" customHeight="1">
      <c r="A233" s="505"/>
      <c r="B233" s="505"/>
      <c r="C233" s="505"/>
      <c r="D233" s="505"/>
      <c r="E233" s="505"/>
      <c r="F233" s="505"/>
      <c r="G233" s="505"/>
      <c r="H233" s="505"/>
      <c r="I233" s="505"/>
      <c r="J233" s="505"/>
      <c r="K233" s="505"/>
      <c r="L233" s="505"/>
      <c r="M233" s="505"/>
      <c r="N233" s="505"/>
      <c r="O233" s="505"/>
      <c r="P233" s="505"/>
      <c r="Q233" s="505"/>
      <c r="R233" s="505"/>
      <c r="S233" s="505"/>
      <c r="T233" s="505"/>
      <c r="U233" s="505"/>
      <c r="V233" s="505"/>
      <c r="W233" s="505"/>
    </row>
    <row r="234" spans="1:23" ht="9.9499999999999993" customHeight="1">
      <c r="A234" s="505"/>
      <c r="B234" s="505"/>
      <c r="C234" s="505"/>
      <c r="D234" s="505"/>
      <c r="E234" s="505"/>
      <c r="F234" s="505"/>
      <c r="G234" s="505"/>
      <c r="H234" s="505"/>
      <c r="I234" s="505"/>
      <c r="J234" s="505"/>
      <c r="K234" s="505"/>
      <c r="L234" s="505"/>
      <c r="M234" s="505"/>
      <c r="N234" s="505"/>
      <c r="O234" s="505"/>
      <c r="P234" s="505"/>
      <c r="Q234" s="505"/>
      <c r="R234" s="505"/>
      <c r="S234" s="505"/>
      <c r="T234" s="505"/>
      <c r="U234" s="505"/>
      <c r="V234" s="505"/>
      <c r="W234" s="505"/>
    </row>
    <row r="235" spans="1:23" ht="9.9499999999999993" customHeight="1">
      <c r="A235" s="505"/>
      <c r="B235" s="505"/>
      <c r="C235" s="505"/>
      <c r="D235" s="505"/>
      <c r="E235" s="505"/>
      <c r="F235" s="505"/>
      <c r="G235" s="505"/>
      <c r="H235" s="505"/>
      <c r="I235" s="505"/>
      <c r="J235" s="505"/>
      <c r="K235" s="505"/>
      <c r="L235" s="505"/>
      <c r="M235" s="505"/>
      <c r="N235" s="505"/>
      <c r="O235" s="505"/>
      <c r="P235" s="505"/>
      <c r="Q235" s="505"/>
      <c r="R235" s="505"/>
      <c r="S235" s="505"/>
      <c r="T235" s="505"/>
      <c r="U235" s="505"/>
      <c r="V235" s="505"/>
      <c r="W235" s="505"/>
    </row>
    <row r="236" spans="1:23" ht="9.9499999999999993" customHeight="1">
      <c r="A236" s="505"/>
      <c r="B236" s="505"/>
      <c r="C236" s="505"/>
      <c r="D236" s="505"/>
      <c r="E236" s="505"/>
      <c r="F236" s="505"/>
      <c r="G236" s="505"/>
      <c r="H236" s="505"/>
      <c r="I236" s="505"/>
      <c r="J236" s="505"/>
      <c r="K236" s="505"/>
      <c r="L236" s="505"/>
      <c r="M236" s="505"/>
      <c r="N236" s="505"/>
      <c r="O236" s="505"/>
      <c r="P236" s="505"/>
      <c r="Q236" s="505"/>
      <c r="R236" s="505"/>
      <c r="S236" s="505"/>
      <c r="T236" s="505"/>
      <c r="U236" s="505"/>
      <c r="V236" s="505"/>
      <c r="W236" s="505"/>
    </row>
    <row r="237" spans="1:23" ht="9.9499999999999993" customHeight="1">
      <c r="A237" s="505"/>
      <c r="B237" s="505"/>
      <c r="C237" s="505"/>
      <c r="D237" s="505"/>
      <c r="E237" s="505"/>
      <c r="F237" s="505"/>
      <c r="G237" s="505"/>
      <c r="H237" s="505"/>
      <c r="I237" s="505"/>
      <c r="J237" s="505"/>
      <c r="K237" s="505"/>
      <c r="L237" s="505"/>
      <c r="M237" s="505"/>
      <c r="N237" s="505"/>
      <c r="O237" s="505"/>
      <c r="P237" s="505"/>
      <c r="Q237" s="505"/>
      <c r="R237" s="505"/>
      <c r="S237" s="505"/>
      <c r="T237" s="505"/>
      <c r="U237" s="505"/>
      <c r="V237" s="505"/>
      <c r="W237" s="505"/>
    </row>
    <row r="238" spans="1:23" ht="9.9499999999999993" customHeight="1">
      <c r="A238" s="505"/>
      <c r="B238" s="505"/>
      <c r="C238" s="505"/>
      <c r="D238" s="505"/>
      <c r="E238" s="505"/>
      <c r="F238" s="505"/>
      <c r="G238" s="505"/>
      <c r="H238" s="505"/>
      <c r="I238" s="505"/>
      <c r="J238" s="505"/>
      <c r="K238" s="505"/>
      <c r="L238" s="505"/>
      <c r="M238" s="505"/>
      <c r="N238" s="505"/>
      <c r="O238" s="505"/>
      <c r="P238" s="505"/>
      <c r="Q238" s="505"/>
      <c r="R238" s="505"/>
      <c r="S238" s="505"/>
      <c r="T238" s="505"/>
      <c r="U238" s="505"/>
      <c r="V238" s="505"/>
      <c r="W238" s="505"/>
    </row>
    <row r="239" spans="1:23" ht="9.9499999999999993" customHeight="1">
      <c r="A239" s="505"/>
      <c r="B239" s="505"/>
      <c r="C239" s="505"/>
      <c r="D239" s="505"/>
      <c r="E239" s="505"/>
      <c r="F239" s="505"/>
      <c r="G239" s="505"/>
      <c r="H239" s="505"/>
      <c r="I239" s="505"/>
      <c r="J239" s="505"/>
      <c r="K239" s="505"/>
      <c r="L239" s="505"/>
      <c r="M239" s="505"/>
      <c r="N239" s="505"/>
      <c r="O239" s="505"/>
      <c r="P239" s="505"/>
      <c r="Q239" s="505"/>
      <c r="R239" s="505"/>
      <c r="S239" s="505"/>
      <c r="T239" s="505"/>
      <c r="U239" s="505"/>
      <c r="V239" s="505"/>
      <c r="W239" s="505"/>
    </row>
    <row r="240" spans="1:23" ht="9.9499999999999993" customHeight="1">
      <c r="A240" s="505"/>
      <c r="B240" s="505"/>
      <c r="C240" s="505"/>
      <c r="D240" s="505"/>
      <c r="E240" s="505"/>
      <c r="F240" s="505"/>
      <c r="G240" s="505"/>
      <c r="H240" s="505"/>
      <c r="I240" s="505"/>
      <c r="J240" s="505"/>
      <c r="K240" s="505"/>
      <c r="L240" s="505"/>
      <c r="M240" s="505"/>
      <c r="N240" s="505"/>
      <c r="O240" s="505"/>
      <c r="P240" s="505"/>
      <c r="Q240" s="505"/>
      <c r="R240" s="505"/>
      <c r="S240" s="505"/>
      <c r="T240" s="505"/>
      <c r="U240" s="505"/>
      <c r="V240" s="505"/>
      <c r="W240" s="505"/>
    </row>
    <row r="241" spans="1:23" ht="9.9499999999999993" customHeight="1">
      <c r="A241" s="505"/>
      <c r="B241" s="505"/>
      <c r="C241" s="505"/>
      <c r="D241" s="505"/>
      <c r="E241" s="505"/>
      <c r="F241" s="505"/>
      <c r="G241" s="505"/>
      <c r="H241" s="505"/>
      <c r="I241" s="505"/>
      <c r="J241" s="505"/>
      <c r="K241" s="505"/>
      <c r="L241" s="505"/>
      <c r="M241" s="505"/>
      <c r="N241" s="505"/>
      <c r="O241" s="505"/>
      <c r="P241" s="505"/>
      <c r="Q241" s="505"/>
      <c r="R241" s="505"/>
      <c r="S241" s="505"/>
      <c r="T241" s="505"/>
      <c r="U241" s="505"/>
      <c r="V241" s="505"/>
      <c r="W241" s="505"/>
    </row>
    <row r="242" spans="1:23" ht="9.9499999999999993" customHeight="1">
      <c r="A242" s="505"/>
      <c r="B242" s="505"/>
      <c r="C242" s="505"/>
      <c r="D242" s="505"/>
      <c r="E242" s="505"/>
      <c r="F242" s="505"/>
      <c r="G242" s="505"/>
      <c r="H242" s="505"/>
      <c r="I242" s="505"/>
      <c r="J242" s="505"/>
      <c r="K242" s="505"/>
      <c r="L242" s="505"/>
      <c r="M242" s="505"/>
      <c r="N242" s="505"/>
      <c r="O242" s="505"/>
      <c r="P242" s="505"/>
      <c r="Q242" s="505"/>
      <c r="R242" s="505"/>
      <c r="S242" s="505"/>
      <c r="T242" s="505"/>
      <c r="U242" s="505"/>
      <c r="V242" s="505"/>
      <c r="W242" s="505"/>
    </row>
    <row r="243" spans="1:23" ht="9.9499999999999993" customHeight="1">
      <c r="A243" s="505"/>
      <c r="B243" s="505"/>
      <c r="C243" s="505"/>
      <c r="D243" s="505"/>
      <c r="E243" s="505"/>
      <c r="F243" s="505"/>
      <c r="G243" s="505"/>
      <c r="H243" s="505"/>
      <c r="I243" s="505"/>
      <c r="J243" s="505"/>
      <c r="K243" s="505"/>
      <c r="L243" s="505"/>
      <c r="M243" s="505"/>
      <c r="N243" s="505"/>
      <c r="O243" s="505"/>
      <c r="P243" s="505"/>
      <c r="Q243" s="505"/>
      <c r="R243" s="505"/>
      <c r="S243" s="505"/>
      <c r="T243" s="505"/>
      <c r="U243" s="505"/>
      <c r="V243" s="505"/>
      <c r="W243" s="505"/>
    </row>
    <row r="244" spans="1:23" ht="9.9499999999999993" customHeight="1">
      <c r="A244" s="505"/>
      <c r="B244" s="505"/>
      <c r="C244" s="505"/>
      <c r="D244" s="505"/>
      <c r="E244" s="505"/>
      <c r="F244" s="505"/>
      <c r="G244" s="505"/>
      <c r="H244" s="505"/>
      <c r="I244" s="505"/>
      <c r="J244" s="505"/>
      <c r="K244" s="505"/>
      <c r="L244" s="505"/>
      <c r="M244" s="505"/>
      <c r="N244" s="505"/>
      <c r="O244" s="505"/>
      <c r="P244" s="505"/>
      <c r="Q244" s="505"/>
      <c r="R244" s="505"/>
      <c r="S244" s="505"/>
      <c r="T244" s="505"/>
      <c r="U244" s="505"/>
      <c r="V244" s="505"/>
      <c r="W244" s="505"/>
    </row>
    <row r="245" spans="1:23" ht="9.9499999999999993" customHeight="1">
      <c r="A245" s="505"/>
      <c r="B245" s="505"/>
      <c r="C245" s="505"/>
      <c r="D245" s="505"/>
      <c r="E245" s="505"/>
      <c r="F245" s="505"/>
      <c r="G245" s="505"/>
      <c r="H245" s="505"/>
      <c r="I245" s="505"/>
      <c r="J245" s="505"/>
      <c r="K245" s="505"/>
      <c r="L245" s="505"/>
      <c r="M245" s="505"/>
      <c r="N245" s="505"/>
      <c r="O245" s="505"/>
      <c r="P245" s="505"/>
      <c r="Q245" s="505"/>
      <c r="R245" s="505"/>
      <c r="S245" s="505"/>
      <c r="T245" s="505"/>
      <c r="U245" s="505"/>
      <c r="V245" s="505"/>
      <c r="W245" s="505"/>
    </row>
    <row r="246" spans="1:23" ht="9.9499999999999993" customHeight="1">
      <c r="A246" s="505"/>
      <c r="B246" s="505"/>
      <c r="C246" s="505"/>
      <c r="D246" s="505"/>
      <c r="E246" s="505"/>
      <c r="F246" s="505"/>
      <c r="G246" s="505"/>
      <c r="H246" s="505"/>
      <c r="I246" s="505"/>
      <c r="J246" s="505"/>
      <c r="K246" s="505"/>
      <c r="L246" s="505"/>
      <c r="M246" s="505"/>
      <c r="N246" s="505"/>
      <c r="O246" s="505"/>
      <c r="P246" s="505"/>
      <c r="Q246" s="505"/>
      <c r="R246" s="505"/>
      <c r="S246" s="505"/>
      <c r="T246" s="505"/>
      <c r="U246" s="505"/>
      <c r="V246" s="505"/>
      <c r="W246" s="505"/>
    </row>
    <row r="247" spans="1:23" ht="9.9499999999999993" customHeight="1">
      <c r="A247" s="505"/>
      <c r="B247" s="505"/>
      <c r="C247" s="505"/>
      <c r="D247" s="505"/>
      <c r="E247" s="505"/>
      <c r="F247" s="505"/>
      <c r="G247" s="505"/>
      <c r="H247" s="505"/>
      <c r="I247" s="505"/>
      <c r="J247" s="505"/>
      <c r="K247" s="505"/>
      <c r="L247" s="505"/>
      <c r="M247" s="505"/>
      <c r="N247" s="505"/>
      <c r="O247" s="505"/>
      <c r="P247" s="505"/>
      <c r="Q247" s="505"/>
      <c r="R247" s="505"/>
      <c r="S247" s="505"/>
      <c r="T247" s="505"/>
      <c r="U247" s="505"/>
      <c r="V247" s="505"/>
      <c r="W247" s="505"/>
    </row>
    <row r="248" spans="1:23" ht="9.9499999999999993" customHeight="1">
      <c r="A248" s="505"/>
      <c r="B248" s="505"/>
      <c r="C248" s="505"/>
      <c r="D248" s="505"/>
      <c r="E248" s="505"/>
      <c r="F248" s="505"/>
      <c r="G248" s="505"/>
      <c r="H248" s="505"/>
      <c r="I248" s="505"/>
      <c r="J248" s="505"/>
      <c r="K248" s="505"/>
      <c r="L248" s="505"/>
      <c r="M248" s="505"/>
      <c r="N248" s="505"/>
      <c r="O248" s="505"/>
      <c r="P248" s="505"/>
      <c r="Q248" s="505"/>
      <c r="R248" s="505"/>
      <c r="S248" s="505"/>
      <c r="T248" s="505"/>
      <c r="U248" s="505"/>
      <c r="V248" s="505"/>
      <c r="W248" s="505"/>
    </row>
    <row r="249" spans="1:23" ht="9.9499999999999993" customHeight="1">
      <c r="A249" s="505"/>
      <c r="B249" s="505"/>
      <c r="C249" s="505"/>
      <c r="D249" s="505"/>
      <c r="E249" s="505"/>
      <c r="F249" s="505"/>
      <c r="G249" s="505"/>
      <c r="H249" s="505"/>
      <c r="I249" s="505"/>
      <c r="J249" s="505"/>
      <c r="K249" s="505"/>
      <c r="L249" s="505"/>
      <c r="M249" s="505"/>
      <c r="N249" s="505"/>
      <c r="O249" s="505"/>
      <c r="P249" s="505"/>
      <c r="Q249" s="505"/>
      <c r="R249" s="505"/>
      <c r="S249" s="505"/>
      <c r="T249" s="505"/>
      <c r="U249" s="505"/>
      <c r="V249" s="505"/>
      <c r="W249" s="505"/>
    </row>
    <row r="250" spans="1:23" ht="9.9499999999999993" customHeight="1">
      <c r="A250" s="505"/>
      <c r="B250" s="505"/>
      <c r="C250" s="505"/>
      <c r="D250" s="505"/>
      <c r="E250" s="505"/>
      <c r="F250" s="505"/>
      <c r="G250" s="505"/>
      <c r="H250" s="505"/>
      <c r="I250" s="505"/>
      <c r="J250" s="505"/>
      <c r="K250" s="505"/>
      <c r="L250" s="505"/>
      <c r="M250" s="505"/>
      <c r="N250" s="505"/>
      <c r="O250" s="505"/>
      <c r="P250" s="505"/>
      <c r="Q250" s="505"/>
      <c r="R250" s="505"/>
      <c r="S250" s="505"/>
      <c r="T250" s="505"/>
      <c r="U250" s="505"/>
      <c r="V250" s="505"/>
      <c r="W250" s="505"/>
    </row>
    <row r="251" spans="1:23" ht="9.9499999999999993" customHeight="1">
      <c r="A251" s="505"/>
      <c r="B251" s="505"/>
      <c r="C251" s="505"/>
      <c r="D251" s="505"/>
      <c r="E251" s="505"/>
      <c r="F251" s="505"/>
      <c r="G251" s="505"/>
      <c r="H251" s="505"/>
      <c r="I251" s="505"/>
      <c r="J251" s="505"/>
      <c r="K251" s="505"/>
      <c r="L251" s="505"/>
      <c r="M251" s="505"/>
      <c r="N251" s="505"/>
      <c r="O251" s="505"/>
      <c r="P251" s="505"/>
      <c r="Q251" s="505"/>
      <c r="R251" s="505"/>
      <c r="S251" s="505"/>
      <c r="T251" s="505"/>
      <c r="U251" s="505"/>
      <c r="V251" s="505"/>
      <c r="W251" s="505"/>
    </row>
    <row r="252" spans="1:23" ht="9.9499999999999993" customHeight="1">
      <c r="A252" s="505"/>
      <c r="B252" s="505"/>
      <c r="C252" s="505"/>
      <c r="D252" s="505"/>
      <c r="E252" s="505"/>
      <c r="F252" s="505"/>
      <c r="G252" s="505"/>
      <c r="H252" s="505"/>
      <c r="I252" s="505"/>
      <c r="J252" s="505"/>
      <c r="K252" s="505"/>
      <c r="L252" s="505"/>
      <c r="M252" s="505"/>
      <c r="N252" s="505"/>
      <c r="O252" s="505"/>
      <c r="P252" s="505"/>
      <c r="Q252" s="505"/>
      <c r="R252" s="505"/>
      <c r="S252" s="505"/>
      <c r="T252" s="505"/>
      <c r="U252" s="505"/>
      <c r="V252" s="505"/>
      <c r="W252" s="505"/>
    </row>
    <row r="253" spans="1:23" ht="9.9499999999999993" customHeight="1">
      <c r="A253" s="505"/>
      <c r="B253" s="505"/>
      <c r="C253" s="505"/>
      <c r="D253" s="505"/>
      <c r="E253" s="505"/>
      <c r="F253" s="505"/>
      <c r="G253" s="505"/>
      <c r="H253" s="505"/>
      <c r="I253" s="505"/>
      <c r="J253" s="505"/>
      <c r="K253" s="505"/>
      <c r="L253" s="505"/>
      <c r="M253" s="505"/>
      <c r="N253" s="505"/>
      <c r="O253" s="505"/>
      <c r="P253" s="505"/>
      <c r="Q253" s="505"/>
      <c r="R253" s="505"/>
      <c r="S253" s="505"/>
      <c r="T253" s="505"/>
      <c r="U253" s="505"/>
      <c r="V253" s="505"/>
      <c r="W253" s="505"/>
    </row>
    <row r="254" spans="1:23" ht="9.9499999999999993" customHeight="1">
      <c r="A254" s="505"/>
      <c r="B254" s="505"/>
      <c r="C254" s="505"/>
      <c r="D254" s="505"/>
      <c r="E254" s="505"/>
      <c r="F254" s="505"/>
      <c r="G254" s="505"/>
      <c r="H254" s="505"/>
      <c r="I254" s="505"/>
      <c r="J254" s="505"/>
      <c r="K254" s="505"/>
      <c r="L254" s="505"/>
      <c r="M254" s="505"/>
      <c r="N254" s="505"/>
      <c r="O254" s="505"/>
      <c r="P254" s="505"/>
      <c r="Q254" s="505"/>
      <c r="R254" s="505"/>
      <c r="S254" s="505"/>
      <c r="T254" s="505"/>
      <c r="U254" s="505"/>
      <c r="V254" s="505"/>
      <c r="W254" s="505"/>
    </row>
    <row r="255" spans="1:23" ht="9.9499999999999993" customHeight="1">
      <c r="A255" s="505"/>
      <c r="B255" s="505"/>
      <c r="C255" s="505"/>
      <c r="D255" s="505"/>
      <c r="E255" s="505"/>
      <c r="F255" s="505"/>
      <c r="G255" s="505"/>
      <c r="H255" s="505"/>
      <c r="I255" s="505"/>
      <c r="J255" s="505"/>
      <c r="K255" s="505"/>
      <c r="L255" s="505"/>
      <c r="M255" s="505"/>
      <c r="N255" s="505"/>
      <c r="O255" s="505"/>
      <c r="P255" s="505"/>
      <c r="Q255" s="505"/>
      <c r="R255" s="505"/>
      <c r="S255" s="505"/>
      <c r="T255" s="505"/>
      <c r="U255" s="505"/>
      <c r="V255" s="505"/>
      <c r="W255" s="505"/>
    </row>
    <row r="256" spans="1:23" ht="9.9499999999999993" customHeight="1">
      <c r="A256" s="505"/>
      <c r="B256" s="505"/>
      <c r="C256" s="505"/>
      <c r="D256" s="505"/>
      <c r="E256" s="505"/>
      <c r="F256" s="505"/>
      <c r="G256" s="505"/>
      <c r="H256" s="505"/>
      <c r="I256" s="505"/>
      <c r="J256" s="505"/>
      <c r="K256" s="505"/>
      <c r="L256" s="505"/>
      <c r="M256" s="505"/>
      <c r="N256" s="505"/>
      <c r="O256" s="505"/>
      <c r="P256" s="505"/>
      <c r="Q256" s="505"/>
      <c r="R256" s="505"/>
      <c r="S256" s="505"/>
      <c r="T256" s="505"/>
      <c r="U256" s="505"/>
      <c r="V256" s="505"/>
      <c r="W256" s="505"/>
    </row>
    <row r="257" spans="1:23" ht="9.9499999999999993" customHeight="1">
      <c r="A257" s="505"/>
      <c r="B257" s="505"/>
      <c r="C257" s="505"/>
      <c r="D257" s="505"/>
      <c r="E257" s="505"/>
      <c r="F257" s="505"/>
      <c r="G257" s="505"/>
      <c r="H257" s="505"/>
      <c r="I257" s="505"/>
      <c r="J257" s="505"/>
      <c r="K257" s="505"/>
      <c r="L257" s="505"/>
      <c r="M257" s="505"/>
      <c r="N257" s="505"/>
      <c r="O257" s="505"/>
      <c r="P257" s="505"/>
      <c r="Q257" s="505"/>
      <c r="R257" s="505"/>
      <c r="S257" s="505"/>
      <c r="T257" s="505"/>
      <c r="U257" s="505"/>
      <c r="V257" s="505"/>
      <c r="W257" s="505"/>
    </row>
    <row r="258" spans="1:23" ht="9.9499999999999993" customHeight="1">
      <c r="A258" s="505"/>
      <c r="B258" s="505"/>
      <c r="C258" s="505"/>
      <c r="D258" s="505"/>
      <c r="E258" s="505"/>
      <c r="F258" s="505"/>
      <c r="G258" s="505"/>
      <c r="H258" s="505"/>
      <c r="I258" s="505"/>
      <c r="J258" s="505"/>
      <c r="K258" s="505"/>
      <c r="L258" s="505"/>
      <c r="M258" s="505"/>
      <c r="N258" s="505"/>
      <c r="O258" s="505"/>
      <c r="P258" s="505"/>
      <c r="Q258" s="505"/>
      <c r="R258" s="505"/>
      <c r="S258" s="505"/>
      <c r="T258" s="505"/>
      <c r="U258" s="505"/>
      <c r="V258" s="505"/>
      <c r="W258" s="505"/>
    </row>
    <row r="259" spans="1:23" ht="9.9499999999999993" customHeight="1">
      <c r="A259" s="505"/>
      <c r="B259" s="505"/>
      <c r="C259" s="505"/>
      <c r="D259" s="505"/>
      <c r="E259" s="505"/>
      <c r="F259" s="505"/>
      <c r="G259" s="505"/>
      <c r="H259" s="505"/>
      <c r="I259" s="505"/>
      <c r="J259" s="505"/>
      <c r="K259" s="505"/>
      <c r="L259" s="505"/>
      <c r="M259" s="505"/>
      <c r="N259" s="505"/>
      <c r="O259" s="505"/>
      <c r="P259" s="505"/>
      <c r="Q259" s="505"/>
      <c r="R259" s="505"/>
      <c r="S259" s="505"/>
      <c r="T259" s="505"/>
      <c r="U259" s="505"/>
      <c r="V259" s="505"/>
      <c r="W259" s="505"/>
    </row>
    <row r="260" spans="1:23" ht="9.9499999999999993" customHeight="1">
      <c r="A260" s="505"/>
      <c r="B260" s="505"/>
      <c r="C260" s="505"/>
      <c r="D260" s="505"/>
      <c r="E260" s="505"/>
      <c r="F260" s="505"/>
      <c r="G260" s="505"/>
      <c r="H260" s="505"/>
      <c r="I260" s="505"/>
      <c r="J260" s="505"/>
      <c r="K260" s="505"/>
      <c r="L260" s="505"/>
      <c r="M260" s="505"/>
      <c r="N260" s="505"/>
      <c r="O260" s="505"/>
      <c r="P260" s="505"/>
      <c r="Q260" s="505"/>
      <c r="R260" s="505"/>
      <c r="S260" s="505"/>
      <c r="T260" s="505"/>
      <c r="U260" s="505"/>
      <c r="V260" s="505"/>
      <c r="W260" s="505"/>
    </row>
    <row r="261" spans="1:23" ht="9.9499999999999993" customHeight="1">
      <c r="A261" s="505"/>
      <c r="B261" s="505"/>
      <c r="C261" s="505"/>
      <c r="D261" s="505"/>
      <c r="E261" s="505"/>
      <c r="F261" s="505"/>
      <c r="G261" s="505"/>
      <c r="H261" s="505"/>
      <c r="I261" s="505"/>
      <c r="J261" s="505"/>
      <c r="K261" s="505"/>
      <c r="L261" s="505"/>
      <c r="M261" s="505"/>
      <c r="N261" s="505"/>
      <c r="O261" s="505"/>
      <c r="P261" s="505"/>
      <c r="Q261" s="505"/>
      <c r="R261" s="505"/>
      <c r="S261" s="505"/>
      <c r="T261" s="505"/>
      <c r="U261" s="505"/>
      <c r="V261" s="505"/>
      <c r="W261" s="505"/>
    </row>
    <row r="262" spans="1:23" ht="9.9499999999999993" customHeight="1">
      <c r="A262" s="505"/>
      <c r="B262" s="505"/>
      <c r="C262" s="505"/>
      <c r="D262" s="505"/>
      <c r="E262" s="505"/>
      <c r="F262" s="505"/>
      <c r="G262" s="505"/>
      <c r="H262" s="505"/>
      <c r="I262" s="505"/>
      <c r="J262" s="505"/>
      <c r="K262" s="505"/>
      <c r="L262" s="505"/>
      <c r="M262" s="505"/>
      <c r="N262" s="505"/>
      <c r="O262" s="505"/>
      <c r="P262" s="505"/>
      <c r="Q262" s="505"/>
      <c r="R262" s="505"/>
      <c r="S262" s="505"/>
      <c r="T262" s="505"/>
      <c r="U262" s="505"/>
      <c r="V262" s="505"/>
      <c r="W262" s="505"/>
    </row>
    <row r="263" spans="1:23" ht="9.9499999999999993" customHeight="1">
      <c r="A263" s="505"/>
      <c r="B263" s="505"/>
      <c r="C263" s="505"/>
      <c r="D263" s="505"/>
      <c r="E263" s="505"/>
      <c r="F263" s="505"/>
      <c r="G263" s="505"/>
      <c r="H263" s="505"/>
      <c r="I263" s="505"/>
      <c r="J263" s="505"/>
      <c r="K263" s="505"/>
      <c r="L263" s="505"/>
      <c r="M263" s="505"/>
      <c r="N263" s="505"/>
      <c r="O263" s="505"/>
      <c r="P263" s="505"/>
      <c r="Q263" s="505"/>
      <c r="R263" s="505"/>
      <c r="S263" s="505"/>
      <c r="T263" s="505"/>
      <c r="U263" s="505"/>
      <c r="V263" s="505"/>
      <c r="W263" s="505"/>
    </row>
    <row r="264" spans="1:23" ht="9.9499999999999993" customHeight="1">
      <c r="A264" s="505"/>
      <c r="B264" s="505"/>
      <c r="C264" s="505"/>
      <c r="D264" s="505"/>
      <c r="E264" s="505"/>
      <c r="F264" s="505"/>
      <c r="G264" s="505"/>
      <c r="H264" s="505"/>
      <c r="I264" s="505"/>
      <c r="J264" s="505"/>
      <c r="K264" s="505"/>
      <c r="L264" s="505"/>
      <c r="M264" s="505"/>
      <c r="N264" s="505"/>
      <c r="O264" s="505"/>
      <c r="P264" s="505"/>
      <c r="Q264" s="505"/>
      <c r="R264" s="505"/>
      <c r="S264" s="505"/>
      <c r="T264" s="505"/>
      <c r="U264" s="505"/>
      <c r="V264" s="505"/>
      <c r="W264" s="505"/>
    </row>
    <row r="265" spans="1:23" ht="9.9499999999999993" customHeight="1">
      <c r="A265" s="505"/>
      <c r="B265" s="505"/>
      <c r="C265" s="505"/>
      <c r="D265" s="505"/>
      <c r="E265" s="505"/>
      <c r="F265" s="505"/>
      <c r="G265" s="505"/>
      <c r="H265" s="505"/>
      <c r="I265" s="505"/>
      <c r="J265" s="505"/>
      <c r="K265" s="505"/>
      <c r="L265" s="505"/>
      <c r="M265" s="505"/>
      <c r="N265" s="505"/>
      <c r="O265" s="505"/>
      <c r="P265" s="505"/>
      <c r="Q265" s="505"/>
      <c r="R265" s="505"/>
      <c r="S265" s="505"/>
      <c r="T265" s="505"/>
      <c r="U265" s="505"/>
      <c r="V265" s="505"/>
      <c r="W265" s="505"/>
    </row>
    <row r="266" spans="1:23" ht="9.9499999999999993" customHeight="1">
      <c r="A266" s="505"/>
      <c r="B266" s="505"/>
      <c r="C266" s="505"/>
      <c r="D266" s="505"/>
      <c r="E266" s="505"/>
      <c r="F266" s="505"/>
      <c r="G266" s="505"/>
      <c r="H266" s="505"/>
      <c r="I266" s="505"/>
      <c r="J266" s="505"/>
      <c r="K266" s="505"/>
      <c r="L266" s="505"/>
      <c r="M266" s="505"/>
      <c r="N266" s="505"/>
      <c r="O266" s="505"/>
      <c r="P266" s="505"/>
      <c r="Q266" s="505"/>
      <c r="R266" s="505"/>
      <c r="S266" s="505"/>
      <c r="T266" s="505"/>
      <c r="U266" s="505"/>
      <c r="V266" s="505"/>
      <c r="W266" s="505"/>
    </row>
    <row r="267" spans="1:23" ht="9.9499999999999993" customHeight="1">
      <c r="A267" s="505"/>
      <c r="B267" s="505"/>
      <c r="C267" s="505"/>
      <c r="D267" s="505"/>
      <c r="E267" s="505"/>
      <c r="F267" s="505"/>
      <c r="G267" s="505"/>
      <c r="H267" s="505"/>
      <c r="I267" s="505"/>
      <c r="J267" s="505"/>
      <c r="K267" s="505"/>
      <c r="L267" s="505"/>
      <c r="M267" s="505"/>
      <c r="N267" s="505"/>
      <c r="O267" s="505"/>
      <c r="P267" s="505"/>
      <c r="Q267" s="505"/>
      <c r="R267" s="505"/>
      <c r="S267" s="505"/>
      <c r="T267" s="505"/>
      <c r="U267" s="505"/>
      <c r="V267" s="505"/>
      <c r="W267" s="505"/>
    </row>
    <row r="268" spans="1:23" ht="9.9499999999999993" customHeight="1">
      <c r="A268" s="505"/>
      <c r="B268" s="505"/>
      <c r="C268" s="505"/>
      <c r="D268" s="505"/>
      <c r="E268" s="505"/>
      <c r="F268" s="505"/>
      <c r="G268" s="505"/>
      <c r="H268" s="505"/>
      <c r="I268" s="505"/>
      <c r="J268" s="505"/>
      <c r="K268" s="505"/>
      <c r="L268" s="505"/>
      <c r="M268" s="505"/>
      <c r="N268" s="505"/>
      <c r="O268" s="505"/>
      <c r="P268" s="505"/>
      <c r="Q268" s="505"/>
      <c r="R268" s="505"/>
      <c r="S268" s="505"/>
      <c r="T268" s="505"/>
      <c r="U268" s="505"/>
      <c r="V268" s="505"/>
      <c r="W268" s="505"/>
    </row>
    <row r="269" spans="1:23" ht="9.9499999999999993" customHeight="1">
      <c r="A269" s="505"/>
      <c r="B269" s="505"/>
      <c r="C269" s="505"/>
      <c r="D269" s="505"/>
      <c r="E269" s="505"/>
      <c r="F269" s="505"/>
      <c r="G269" s="505"/>
      <c r="H269" s="505"/>
      <c r="I269" s="505"/>
      <c r="J269" s="505"/>
      <c r="K269" s="505"/>
      <c r="L269" s="505"/>
      <c r="M269" s="505"/>
      <c r="N269" s="505"/>
      <c r="O269" s="505"/>
      <c r="P269" s="505"/>
      <c r="Q269" s="505"/>
      <c r="R269" s="505"/>
      <c r="S269" s="505"/>
      <c r="T269" s="505"/>
      <c r="U269" s="505"/>
      <c r="V269" s="505"/>
      <c r="W269" s="505"/>
    </row>
    <row r="270" spans="1:23" ht="9.9499999999999993" customHeight="1">
      <c r="A270" s="505"/>
      <c r="B270" s="505"/>
      <c r="C270" s="505"/>
      <c r="D270" s="505"/>
      <c r="E270" s="505"/>
      <c r="F270" s="505"/>
      <c r="G270" s="505"/>
      <c r="H270" s="505"/>
      <c r="I270" s="505"/>
      <c r="J270" s="505"/>
      <c r="K270" s="505"/>
      <c r="L270" s="505"/>
      <c r="M270" s="505"/>
      <c r="N270" s="505"/>
      <c r="O270" s="505"/>
      <c r="P270" s="505"/>
      <c r="Q270" s="505"/>
      <c r="R270" s="505"/>
      <c r="S270" s="505"/>
      <c r="T270" s="505"/>
      <c r="U270" s="505"/>
      <c r="V270" s="505"/>
      <c r="W270" s="505"/>
    </row>
    <row r="271" spans="1:23" ht="9.9499999999999993" customHeight="1">
      <c r="A271" s="505"/>
      <c r="B271" s="505"/>
      <c r="C271" s="505"/>
      <c r="D271" s="505"/>
      <c r="E271" s="505"/>
      <c r="F271" s="505"/>
      <c r="G271" s="505"/>
      <c r="H271" s="505"/>
      <c r="I271" s="505"/>
      <c r="J271" s="505"/>
      <c r="K271" s="505"/>
      <c r="L271" s="505"/>
      <c r="M271" s="505"/>
      <c r="N271" s="505"/>
      <c r="O271" s="505"/>
      <c r="P271" s="505"/>
      <c r="Q271" s="505"/>
      <c r="R271" s="505"/>
      <c r="S271" s="505"/>
      <c r="T271" s="505"/>
      <c r="U271" s="505"/>
      <c r="V271" s="505"/>
      <c r="W271" s="505"/>
    </row>
    <row r="272" spans="1:23" ht="9.9499999999999993" customHeight="1">
      <c r="A272" s="505"/>
      <c r="B272" s="505"/>
      <c r="C272" s="505"/>
      <c r="D272" s="505"/>
      <c r="E272" s="505"/>
      <c r="F272" s="505"/>
      <c r="G272" s="505"/>
      <c r="H272" s="505"/>
      <c r="I272" s="505"/>
      <c r="J272" s="505"/>
      <c r="K272" s="505"/>
      <c r="L272" s="505"/>
      <c r="M272" s="505"/>
      <c r="N272" s="505"/>
      <c r="O272" s="505"/>
      <c r="P272" s="505"/>
      <c r="Q272" s="505"/>
      <c r="R272" s="505"/>
      <c r="S272" s="505"/>
      <c r="T272" s="505"/>
      <c r="U272" s="505"/>
      <c r="V272" s="505"/>
      <c r="W272" s="505"/>
    </row>
    <row r="273" spans="1:23" ht="9.9499999999999993" customHeight="1">
      <c r="A273" s="505"/>
      <c r="B273" s="505"/>
      <c r="C273" s="505"/>
      <c r="D273" s="505"/>
      <c r="E273" s="505"/>
      <c r="F273" s="505"/>
      <c r="G273" s="505"/>
      <c r="H273" s="505"/>
      <c r="I273" s="505"/>
      <c r="J273" s="505"/>
      <c r="K273" s="505"/>
      <c r="L273" s="505"/>
      <c r="M273" s="505"/>
      <c r="N273" s="505"/>
      <c r="O273" s="505"/>
      <c r="P273" s="505"/>
      <c r="Q273" s="505"/>
      <c r="R273" s="505"/>
      <c r="S273" s="505"/>
      <c r="T273" s="505"/>
      <c r="U273" s="505"/>
      <c r="V273" s="505"/>
      <c r="W273" s="505"/>
    </row>
    <row r="274" spans="1:23" ht="9.9499999999999993" customHeight="1">
      <c r="A274" s="505"/>
      <c r="B274" s="505"/>
      <c r="C274" s="505"/>
      <c r="D274" s="505"/>
      <c r="E274" s="505"/>
      <c r="F274" s="505"/>
      <c r="G274" s="505"/>
      <c r="H274" s="505"/>
      <c r="I274" s="505"/>
      <c r="J274" s="505"/>
      <c r="K274" s="505"/>
      <c r="L274" s="505"/>
      <c r="M274" s="505"/>
      <c r="N274" s="505"/>
      <c r="O274" s="505"/>
      <c r="P274" s="505"/>
      <c r="Q274" s="505"/>
      <c r="R274" s="505"/>
      <c r="S274" s="505"/>
      <c r="T274" s="505"/>
      <c r="U274" s="505"/>
      <c r="V274" s="505"/>
      <c r="W274" s="505"/>
    </row>
    <row r="275" spans="1:23" ht="9.9499999999999993" customHeight="1">
      <c r="A275" s="505"/>
      <c r="B275" s="505"/>
      <c r="C275" s="505"/>
      <c r="D275" s="505"/>
      <c r="E275" s="505"/>
      <c r="F275" s="505"/>
      <c r="G275" s="505"/>
      <c r="H275" s="505"/>
      <c r="I275" s="505"/>
      <c r="J275" s="505"/>
      <c r="K275" s="505"/>
      <c r="L275" s="505"/>
      <c r="M275" s="505"/>
      <c r="N275" s="505"/>
      <c r="O275" s="505"/>
      <c r="P275" s="505"/>
      <c r="Q275" s="505"/>
      <c r="R275" s="505"/>
      <c r="S275" s="505"/>
      <c r="T275" s="505"/>
      <c r="U275" s="505"/>
      <c r="V275" s="505"/>
      <c r="W275" s="505"/>
    </row>
    <row r="276" spans="1:23" ht="9.9499999999999993" customHeight="1">
      <c r="A276" s="505"/>
      <c r="B276" s="505"/>
      <c r="C276" s="505"/>
      <c r="D276" s="505"/>
      <c r="E276" s="505"/>
      <c r="F276" s="505"/>
      <c r="G276" s="505"/>
      <c r="H276" s="505"/>
      <c r="I276" s="505"/>
      <c r="J276" s="505"/>
      <c r="K276" s="505"/>
      <c r="L276" s="505"/>
      <c r="M276" s="505"/>
      <c r="N276" s="505"/>
      <c r="O276" s="505"/>
      <c r="P276" s="505"/>
      <c r="Q276" s="505"/>
      <c r="R276" s="505"/>
      <c r="S276" s="505"/>
      <c r="T276" s="505"/>
      <c r="U276" s="505"/>
      <c r="V276" s="505"/>
      <c r="W276" s="505"/>
    </row>
    <row r="277" spans="1:23" ht="9.9499999999999993" customHeight="1">
      <c r="A277" s="505"/>
      <c r="B277" s="505"/>
      <c r="C277" s="505"/>
      <c r="D277" s="505"/>
      <c r="E277" s="505"/>
      <c r="F277" s="505"/>
      <c r="G277" s="505"/>
      <c r="H277" s="505"/>
      <c r="I277" s="505"/>
      <c r="J277" s="505"/>
      <c r="K277" s="505"/>
      <c r="L277" s="505"/>
      <c r="M277" s="505"/>
      <c r="N277" s="505"/>
      <c r="O277" s="505"/>
      <c r="P277" s="505"/>
      <c r="Q277" s="505"/>
      <c r="R277" s="505"/>
      <c r="S277" s="505"/>
      <c r="T277" s="505"/>
      <c r="U277" s="505"/>
      <c r="V277" s="505"/>
      <c r="W277" s="505"/>
    </row>
    <row r="278" spans="1:23" ht="9.9499999999999993" customHeight="1">
      <c r="A278" s="505"/>
      <c r="B278" s="505"/>
      <c r="C278" s="505"/>
      <c r="D278" s="505"/>
      <c r="E278" s="505"/>
      <c r="F278" s="505"/>
      <c r="G278" s="505"/>
      <c r="H278" s="505"/>
      <c r="I278" s="505"/>
      <c r="J278" s="505"/>
      <c r="K278" s="505"/>
      <c r="L278" s="505"/>
      <c r="M278" s="505"/>
      <c r="N278" s="505"/>
      <c r="O278" s="505"/>
      <c r="P278" s="505"/>
      <c r="Q278" s="505"/>
      <c r="R278" s="505"/>
      <c r="S278" s="505"/>
      <c r="T278" s="505"/>
      <c r="U278" s="505"/>
      <c r="V278" s="505"/>
      <c r="W278" s="505"/>
    </row>
    <row r="279" spans="1:23" ht="9.9499999999999993" customHeight="1">
      <c r="A279" s="505"/>
      <c r="B279" s="505"/>
      <c r="C279" s="505"/>
      <c r="D279" s="505"/>
      <c r="E279" s="505"/>
      <c r="F279" s="505"/>
      <c r="G279" s="505"/>
      <c r="H279" s="505"/>
      <c r="I279" s="505"/>
      <c r="J279" s="505"/>
      <c r="K279" s="505"/>
      <c r="L279" s="505"/>
      <c r="M279" s="505"/>
      <c r="N279" s="505"/>
      <c r="O279" s="505"/>
      <c r="P279" s="505"/>
      <c r="Q279" s="505"/>
      <c r="R279" s="505"/>
      <c r="S279" s="505"/>
      <c r="T279" s="505"/>
      <c r="U279" s="505"/>
      <c r="V279" s="505"/>
      <c r="W279" s="505"/>
    </row>
    <row r="280" spans="1:23" ht="9.9499999999999993" customHeight="1">
      <c r="A280" s="505"/>
      <c r="B280" s="505"/>
      <c r="C280" s="505"/>
      <c r="D280" s="505"/>
      <c r="E280" s="505"/>
      <c r="F280" s="505"/>
      <c r="G280" s="505"/>
      <c r="H280" s="505"/>
      <c r="I280" s="505"/>
      <c r="J280" s="505"/>
      <c r="K280" s="505"/>
      <c r="L280" s="505"/>
      <c r="M280" s="505"/>
      <c r="N280" s="505"/>
      <c r="O280" s="505"/>
      <c r="P280" s="505"/>
      <c r="Q280" s="505"/>
      <c r="R280" s="505"/>
      <c r="S280" s="505"/>
      <c r="T280" s="505"/>
      <c r="U280" s="505"/>
      <c r="V280" s="505"/>
      <c r="W280" s="505"/>
    </row>
    <row r="281" spans="1:23" ht="9.9499999999999993" customHeight="1">
      <c r="A281" s="505"/>
      <c r="B281" s="505"/>
      <c r="C281" s="505"/>
      <c r="D281" s="505"/>
      <c r="E281" s="505"/>
      <c r="F281" s="505"/>
      <c r="G281" s="505"/>
      <c r="H281" s="505"/>
      <c r="I281" s="505"/>
      <c r="J281" s="505"/>
      <c r="K281" s="505"/>
      <c r="L281" s="505"/>
      <c r="M281" s="505"/>
      <c r="N281" s="505"/>
      <c r="O281" s="505"/>
      <c r="P281" s="505"/>
      <c r="Q281" s="505"/>
      <c r="R281" s="505"/>
      <c r="S281" s="505"/>
      <c r="T281" s="505"/>
      <c r="U281" s="505"/>
      <c r="V281" s="505"/>
      <c r="W281" s="505"/>
    </row>
    <row r="282" spans="1:23" ht="9.9499999999999993" customHeight="1">
      <c r="A282" s="505"/>
      <c r="B282" s="505"/>
      <c r="C282" s="505"/>
      <c r="D282" s="505"/>
      <c r="E282" s="505"/>
      <c r="F282" s="505"/>
      <c r="G282" s="505"/>
      <c r="H282" s="505"/>
      <c r="I282" s="505"/>
      <c r="J282" s="505"/>
      <c r="K282" s="505"/>
      <c r="L282" s="505"/>
      <c r="M282" s="505"/>
      <c r="N282" s="505"/>
      <c r="O282" s="505"/>
      <c r="P282" s="505"/>
      <c r="Q282" s="505"/>
      <c r="R282" s="505"/>
      <c r="S282" s="505"/>
      <c r="T282" s="505"/>
      <c r="U282" s="505"/>
      <c r="V282" s="505"/>
      <c r="W282" s="505"/>
    </row>
    <row r="283" spans="1:23" ht="9.9499999999999993" customHeight="1">
      <c r="A283" s="505"/>
      <c r="B283" s="505"/>
      <c r="C283" s="505"/>
      <c r="D283" s="505"/>
      <c r="E283" s="505"/>
      <c r="F283" s="505"/>
      <c r="G283" s="505"/>
      <c r="H283" s="505"/>
      <c r="I283" s="505"/>
      <c r="J283" s="505"/>
      <c r="K283" s="505"/>
      <c r="L283" s="505"/>
      <c r="M283" s="505"/>
      <c r="N283" s="505"/>
      <c r="O283" s="505"/>
      <c r="P283" s="505"/>
      <c r="Q283" s="505"/>
      <c r="R283" s="505"/>
      <c r="S283" s="505"/>
      <c r="T283" s="505"/>
      <c r="U283" s="505"/>
      <c r="V283" s="505"/>
      <c r="W283" s="505"/>
    </row>
    <row r="284" spans="1:23" ht="9.9499999999999993" customHeight="1">
      <c r="A284" s="505"/>
      <c r="B284" s="505"/>
      <c r="C284" s="505"/>
      <c r="D284" s="505"/>
      <c r="E284" s="505"/>
      <c r="F284" s="505"/>
      <c r="G284" s="505"/>
      <c r="H284" s="505"/>
      <c r="I284" s="505"/>
      <c r="J284" s="505"/>
      <c r="K284" s="505"/>
      <c r="L284" s="505"/>
      <c r="M284" s="505"/>
      <c r="N284" s="505"/>
      <c r="O284" s="505"/>
      <c r="P284" s="505"/>
      <c r="Q284" s="505"/>
      <c r="R284" s="505"/>
      <c r="S284" s="505"/>
      <c r="T284" s="505"/>
      <c r="U284" s="505"/>
      <c r="V284" s="505"/>
      <c r="W284" s="505"/>
    </row>
    <row r="285" spans="1:23" ht="9.9499999999999993" customHeight="1">
      <c r="A285" s="505"/>
      <c r="B285" s="505"/>
      <c r="C285" s="505"/>
      <c r="D285" s="505"/>
      <c r="E285" s="505"/>
      <c r="F285" s="505"/>
      <c r="G285" s="505"/>
      <c r="H285" s="505"/>
      <c r="I285" s="505"/>
      <c r="J285" s="505"/>
      <c r="K285" s="505"/>
      <c r="L285" s="505"/>
      <c r="M285" s="505"/>
      <c r="N285" s="505"/>
      <c r="O285" s="505"/>
      <c r="P285" s="505"/>
      <c r="Q285" s="505"/>
      <c r="R285" s="505"/>
      <c r="S285" s="505"/>
      <c r="T285" s="505"/>
      <c r="U285" s="505"/>
      <c r="V285" s="505"/>
      <c r="W285" s="505"/>
    </row>
    <row r="286" spans="1:23" ht="9.9499999999999993" customHeight="1">
      <c r="A286" s="505"/>
      <c r="B286" s="505"/>
      <c r="C286" s="505"/>
      <c r="D286" s="505"/>
      <c r="E286" s="505"/>
      <c r="F286" s="505"/>
      <c r="G286" s="505"/>
      <c r="H286" s="505"/>
      <c r="I286" s="505"/>
      <c r="J286" s="505"/>
      <c r="K286" s="505"/>
      <c r="L286" s="505"/>
      <c r="M286" s="505"/>
      <c r="N286" s="505"/>
      <c r="O286" s="505"/>
      <c r="P286" s="505"/>
      <c r="Q286" s="505"/>
      <c r="R286" s="505"/>
      <c r="S286" s="505"/>
      <c r="T286" s="505"/>
      <c r="U286" s="505"/>
      <c r="V286" s="505"/>
      <c r="W286" s="505"/>
    </row>
    <row r="287" spans="1:23" ht="9.9499999999999993" customHeight="1">
      <c r="A287" s="505"/>
      <c r="B287" s="505"/>
      <c r="C287" s="505"/>
      <c r="D287" s="505"/>
      <c r="E287" s="505"/>
      <c r="F287" s="505"/>
      <c r="G287" s="505"/>
      <c r="H287" s="505"/>
      <c r="I287" s="505"/>
      <c r="J287" s="505"/>
      <c r="K287" s="505"/>
      <c r="L287" s="505"/>
      <c r="M287" s="505"/>
      <c r="N287" s="505"/>
      <c r="O287" s="505"/>
      <c r="P287" s="505"/>
      <c r="Q287" s="505"/>
      <c r="R287" s="505"/>
      <c r="S287" s="505"/>
      <c r="T287" s="505"/>
      <c r="U287" s="505"/>
      <c r="V287" s="505"/>
      <c r="W287" s="505"/>
    </row>
    <row r="288" spans="1:23" ht="9.9499999999999993" customHeight="1">
      <c r="A288" s="505"/>
      <c r="B288" s="505"/>
      <c r="C288" s="505"/>
      <c r="D288" s="505"/>
      <c r="E288" s="505"/>
      <c r="F288" s="505"/>
      <c r="G288" s="505"/>
      <c r="H288" s="505"/>
      <c r="I288" s="505"/>
      <c r="J288" s="505"/>
      <c r="K288" s="505"/>
      <c r="L288" s="505"/>
      <c r="M288" s="505"/>
      <c r="N288" s="505"/>
      <c r="O288" s="505"/>
      <c r="P288" s="505"/>
      <c r="Q288" s="505"/>
      <c r="R288" s="505"/>
      <c r="S288" s="505"/>
      <c r="T288" s="505"/>
      <c r="U288" s="505"/>
      <c r="V288" s="505"/>
      <c r="W288" s="505"/>
    </row>
    <row r="289" spans="1:23" ht="9.9499999999999993" customHeight="1">
      <c r="A289" s="505"/>
      <c r="B289" s="505"/>
      <c r="C289" s="505"/>
      <c r="D289" s="505"/>
      <c r="E289" s="505"/>
      <c r="F289" s="505"/>
      <c r="G289" s="505"/>
      <c r="H289" s="505"/>
      <c r="I289" s="505"/>
      <c r="J289" s="505"/>
      <c r="K289" s="505"/>
      <c r="L289" s="505"/>
      <c r="M289" s="505"/>
      <c r="N289" s="505"/>
      <c r="O289" s="505"/>
      <c r="P289" s="505"/>
      <c r="Q289" s="505"/>
      <c r="R289" s="505"/>
      <c r="S289" s="505"/>
      <c r="T289" s="505"/>
      <c r="U289" s="505"/>
      <c r="V289" s="505"/>
      <c r="W289" s="505"/>
    </row>
    <row r="290" spans="1:23" ht="9.9499999999999993" customHeight="1">
      <c r="A290" s="505"/>
      <c r="B290" s="505"/>
      <c r="C290" s="505"/>
      <c r="D290" s="505"/>
      <c r="E290" s="505"/>
      <c r="F290" s="505"/>
      <c r="G290" s="505"/>
      <c r="H290" s="505"/>
      <c r="I290" s="505"/>
      <c r="J290" s="505"/>
      <c r="K290" s="505"/>
      <c r="L290" s="505"/>
      <c r="M290" s="505"/>
      <c r="N290" s="505"/>
      <c r="O290" s="505"/>
      <c r="P290" s="505"/>
      <c r="Q290" s="505"/>
      <c r="R290" s="505"/>
      <c r="S290" s="505"/>
      <c r="T290" s="505"/>
      <c r="U290" s="505"/>
      <c r="V290" s="505"/>
      <c r="W290" s="505"/>
    </row>
    <row r="291" spans="1:23" ht="9.9499999999999993" customHeight="1">
      <c r="A291" s="505"/>
      <c r="B291" s="505"/>
      <c r="C291" s="505"/>
      <c r="D291" s="505"/>
      <c r="E291" s="505"/>
      <c r="F291" s="505"/>
      <c r="G291" s="505"/>
      <c r="H291" s="505"/>
      <c r="I291" s="505"/>
      <c r="J291" s="505"/>
      <c r="K291" s="505"/>
      <c r="L291" s="505"/>
      <c r="M291" s="505"/>
      <c r="N291" s="505"/>
      <c r="O291" s="505"/>
      <c r="P291" s="505"/>
      <c r="Q291" s="505"/>
      <c r="R291" s="505"/>
      <c r="S291" s="505"/>
      <c r="T291" s="505"/>
      <c r="U291" s="505"/>
      <c r="V291" s="505"/>
      <c r="W291" s="505"/>
    </row>
    <row r="292" spans="1:23" ht="9.9499999999999993" customHeight="1">
      <c r="A292" s="505"/>
      <c r="B292" s="505"/>
      <c r="C292" s="505"/>
      <c r="D292" s="505"/>
      <c r="E292" s="505"/>
      <c r="F292" s="505"/>
      <c r="G292" s="505"/>
      <c r="H292" s="505"/>
      <c r="I292" s="505"/>
      <c r="J292" s="505"/>
      <c r="K292" s="505"/>
      <c r="L292" s="505"/>
      <c r="M292" s="505"/>
      <c r="N292" s="505"/>
      <c r="O292" s="505"/>
      <c r="P292" s="505"/>
      <c r="Q292" s="505"/>
      <c r="R292" s="505"/>
      <c r="S292" s="505"/>
      <c r="T292" s="505"/>
      <c r="U292" s="505"/>
      <c r="V292" s="505"/>
      <c r="W292" s="505"/>
    </row>
    <row r="293" spans="1:23" ht="9.9499999999999993" customHeight="1">
      <c r="A293" s="505"/>
      <c r="B293" s="505"/>
      <c r="C293" s="505"/>
      <c r="D293" s="505"/>
      <c r="E293" s="505"/>
      <c r="F293" s="505"/>
      <c r="G293" s="505"/>
      <c r="H293" s="505"/>
      <c r="I293" s="505"/>
      <c r="J293" s="505"/>
      <c r="K293" s="505"/>
      <c r="L293" s="505"/>
      <c r="M293" s="505"/>
      <c r="N293" s="505"/>
      <c r="O293" s="505"/>
      <c r="P293" s="505"/>
      <c r="Q293" s="505"/>
      <c r="R293" s="505"/>
      <c r="S293" s="505"/>
      <c r="T293" s="505"/>
      <c r="U293" s="505"/>
      <c r="V293" s="505"/>
      <c r="W293" s="505"/>
    </row>
    <row r="294" spans="1:23" ht="9.9499999999999993" customHeight="1">
      <c r="A294" s="505"/>
      <c r="B294" s="505"/>
      <c r="C294" s="505"/>
      <c r="D294" s="505"/>
      <c r="E294" s="505"/>
      <c r="F294" s="505"/>
      <c r="G294" s="505"/>
      <c r="H294" s="505"/>
      <c r="I294" s="505"/>
      <c r="J294" s="505"/>
      <c r="K294" s="505"/>
      <c r="L294" s="505"/>
      <c r="M294" s="505"/>
      <c r="N294" s="505"/>
      <c r="O294" s="505"/>
      <c r="P294" s="505"/>
      <c r="Q294" s="505"/>
      <c r="R294" s="505"/>
      <c r="S294" s="505"/>
      <c r="T294" s="505"/>
      <c r="U294" s="505"/>
      <c r="V294" s="505"/>
      <c r="W294" s="505"/>
    </row>
    <row r="295" spans="1:23" ht="9.9499999999999993" customHeight="1">
      <c r="A295" s="505"/>
      <c r="B295" s="505"/>
      <c r="C295" s="505"/>
      <c r="D295" s="505"/>
      <c r="E295" s="505"/>
      <c r="F295" s="505"/>
      <c r="G295" s="505"/>
      <c r="H295" s="505"/>
      <c r="I295" s="505"/>
      <c r="J295" s="505"/>
      <c r="K295" s="505"/>
      <c r="L295" s="505"/>
      <c r="M295" s="505"/>
      <c r="N295" s="505"/>
      <c r="O295" s="505"/>
      <c r="P295" s="505"/>
      <c r="Q295" s="505"/>
      <c r="R295" s="505"/>
      <c r="S295" s="505"/>
      <c r="T295" s="505"/>
      <c r="U295" s="505"/>
      <c r="V295" s="505"/>
      <c r="W295" s="505"/>
    </row>
    <row r="296" spans="1:23" ht="9.9499999999999993" customHeight="1">
      <c r="A296" s="505"/>
      <c r="B296" s="505"/>
      <c r="C296" s="505"/>
      <c r="D296" s="505"/>
      <c r="E296" s="505"/>
      <c r="F296" s="505"/>
      <c r="G296" s="505"/>
      <c r="H296" s="505"/>
      <c r="I296" s="505"/>
      <c r="J296" s="505"/>
      <c r="K296" s="505"/>
      <c r="L296" s="505"/>
      <c r="M296" s="505"/>
      <c r="N296" s="505"/>
      <c r="O296" s="505"/>
      <c r="P296" s="505"/>
      <c r="Q296" s="505"/>
      <c r="R296" s="505"/>
      <c r="S296" s="505"/>
      <c r="T296" s="505"/>
      <c r="U296" s="505"/>
      <c r="V296" s="505"/>
      <c r="W296" s="505"/>
    </row>
    <row r="297" spans="1:23" ht="9.9499999999999993" customHeight="1">
      <c r="A297" s="505"/>
      <c r="B297" s="505"/>
      <c r="C297" s="505"/>
      <c r="D297" s="505"/>
      <c r="E297" s="505"/>
      <c r="F297" s="505"/>
      <c r="G297" s="505"/>
      <c r="H297" s="505"/>
      <c r="I297" s="505"/>
      <c r="J297" s="505"/>
      <c r="K297" s="505"/>
      <c r="L297" s="505"/>
      <c r="M297" s="505"/>
      <c r="N297" s="505"/>
      <c r="O297" s="505"/>
      <c r="P297" s="505"/>
      <c r="Q297" s="505"/>
      <c r="R297" s="505"/>
      <c r="S297" s="505"/>
      <c r="T297" s="505"/>
      <c r="U297" s="505"/>
      <c r="V297" s="505"/>
      <c r="W297" s="505"/>
    </row>
    <row r="298" spans="1:23" ht="9.9499999999999993" customHeight="1">
      <c r="A298" s="505"/>
      <c r="B298" s="505"/>
      <c r="C298" s="505"/>
      <c r="D298" s="505"/>
      <c r="E298" s="505"/>
      <c r="F298" s="505"/>
      <c r="G298" s="505"/>
      <c r="H298" s="505"/>
      <c r="I298" s="505"/>
      <c r="J298" s="505"/>
      <c r="K298" s="505"/>
      <c r="L298" s="505"/>
      <c r="M298" s="505"/>
      <c r="N298" s="505"/>
      <c r="O298" s="505"/>
      <c r="P298" s="505"/>
      <c r="Q298" s="505"/>
      <c r="R298" s="505"/>
      <c r="S298" s="505"/>
      <c r="T298" s="505"/>
      <c r="U298" s="505"/>
      <c r="V298" s="505"/>
      <c r="W298" s="505"/>
    </row>
    <row r="299" spans="1:23" ht="9.9499999999999993" customHeight="1">
      <c r="A299" s="505"/>
      <c r="B299" s="505"/>
      <c r="C299" s="505"/>
      <c r="D299" s="505"/>
      <c r="E299" s="505"/>
      <c r="F299" s="505"/>
      <c r="G299" s="505"/>
      <c r="H299" s="505"/>
      <c r="I299" s="505"/>
      <c r="J299" s="505"/>
      <c r="K299" s="505"/>
      <c r="L299" s="505"/>
      <c r="M299" s="505"/>
      <c r="N299" s="505"/>
      <c r="O299" s="505"/>
      <c r="P299" s="505"/>
      <c r="Q299" s="505"/>
      <c r="R299" s="505"/>
      <c r="S299" s="505"/>
      <c r="T299" s="505"/>
      <c r="U299" s="505"/>
      <c r="V299" s="505"/>
      <c r="W299" s="505"/>
    </row>
    <row r="300" spans="1:23" ht="9.9499999999999993" customHeight="1">
      <c r="A300" s="505"/>
      <c r="B300" s="505"/>
      <c r="C300" s="505"/>
      <c r="D300" s="505"/>
      <c r="E300" s="505"/>
      <c r="F300" s="505"/>
      <c r="G300" s="505"/>
      <c r="H300" s="505"/>
      <c r="I300" s="505"/>
      <c r="J300" s="505"/>
      <c r="K300" s="505"/>
      <c r="L300" s="505"/>
      <c r="M300" s="505"/>
      <c r="N300" s="505"/>
      <c r="O300" s="505"/>
      <c r="P300" s="505"/>
      <c r="Q300" s="505"/>
      <c r="R300" s="505"/>
      <c r="S300" s="505"/>
      <c r="T300" s="505"/>
      <c r="U300" s="505"/>
      <c r="V300" s="505"/>
      <c r="W300" s="505"/>
    </row>
    <row r="301" spans="1:23" ht="9.9499999999999993" customHeight="1">
      <c r="A301" s="505"/>
      <c r="B301" s="505"/>
      <c r="C301" s="505"/>
      <c r="D301" s="505"/>
      <c r="E301" s="505"/>
      <c r="F301" s="505"/>
      <c r="G301" s="505"/>
      <c r="H301" s="505"/>
      <c r="I301" s="505"/>
      <c r="J301" s="505"/>
      <c r="K301" s="505"/>
      <c r="L301" s="505"/>
      <c r="M301" s="505"/>
      <c r="N301" s="505"/>
      <c r="O301" s="505"/>
      <c r="P301" s="505"/>
      <c r="Q301" s="505"/>
      <c r="R301" s="505"/>
      <c r="S301" s="505"/>
      <c r="T301" s="505"/>
      <c r="U301" s="505"/>
      <c r="V301" s="505"/>
      <c r="W301" s="505"/>
    </row>
    <row r="302" spans="1:23" ht="9.9499999999999993" customHeight="1">
      <c r="A302" s="505"/>
      <c r="B302" s="505"/>
      <c r="C302" s="505"/>
      <c r="D302" s="505"/>
      <c r="E302" s="505"/>
      <c r="F302" s="505"/>
      <c r="G302" s="505"/>
      <c r="H302" s="505"/>
      <c r="I302" s="505"/>
      <c r="J302" s="505"/>
      <c r="K302" s="505"/>
      <c r="L302" s="505"/>
      <c r="M302" s="505"/>
      <c r="N302" s="505"/>
      <c r="O302" s="505"/>
      <c r="P302" s="505"/>
      <c r="Q302" s="505"/>
      <c r="R302" s="505"/>
      <c r="S302" s="505"/>
      <c r="T302" s="505"/>
      <c r="U302" s="505"/>
      <c r="V302" s="505"/>
      <c r="W302" s="505"/>
    </row>
    <row r="303" spans="1:23" ht="9.9499999999999993" customHeight="1">
      <c r="A303" s="505"/>
      <c r="B303" s="505"/>
      <c r="C303" s="505"/>
      <c r="D303" s="505"/>
      <c r="E303" s="505"/>
      <c r="F303" s="505"/>
      <c r="G303" s="505"/>
      <c r="H303" s="505"/>
      <c r="I303" s="505"/>
      <c r="J303" s="505"/>
      <c r="K303" s="505"/>
      <c r="L303" s="505"/>
      <c r="M303" s="505"/>
      <c r="N303" s="505"/>
      <c r="O303" s="505"/>
      <c r="P303" s="505"/>
      <c r="Q303" s="505"/>
      <c r="R303" s="505"/>
      <c r="S303" s="505"/>
      <c r="T303" s="505"/>
      <c r="U303" s="505"/>
      <c r="V303" s="505"/>
      <c r="W303" s="505"/>
    </row>
    <row r="304" spans="1:23" ht="9.9499999999999993" customHeight="1">
      <c r="A304" s="505"/>
      <c r="B304" s="505"/>
      <c r="C304" s="505"/>
      <c r="D304" s="505"/>
      <c r="E304" s="505"/>
      <c r="F304" s="505"/>
      <c r="G304" s="505"/>
      <c r="H304" s="505"/>
      <c r="I304" s="505"/>
      <c r="J304" s="505"/>
      <c r="K304" s="505"/>
      <c r="L304" s="505"/>
      <c r="M304" s="505"/>
      <c r="N304" s="505"/>
      <c r="O304" s="505"/>
      <c r="P304" s="505"/>
      <c r="Q304" s="505"/>
      <c r="R304" s="505"/>
      <c r="S304" s="505"/>
      <c r="T304" s="505"/>
      <c r="U304" s="505"/>
      <c r="V304" s="505"/>
      <c r="W304" s="505"/>
    </row>
    <row r="305" spans="1:23" ht="9.9499999999999993" customHeight="1">
      <c r="A305" s="505"/>
      <c r="B305" s="505"/>
      <c r="C305" s="505"/>
      <c r="D305" s="505"/>
      <c r="E305" s="505"/>
      <c r="F305" s="505"/>
      <c r="G305" s="505"/>
      <c r="H305" s="505"/>
      <c r="I305" s="505"/>
      <c r="J305" s="505"/>
      <c r="K305" s="505"/>
      <c r="L305" s="505"/>
      <c r="M305" s="505"/>
      <c r="N305" s="505"/>
      <c r="O305" s="505"/>
      <c r="P305" s="505"/>
      <c r="Q305" s="505"/>
      <c r="R305" s="505"/>
      <c r="S305" s="505"/>
      <c r="T305" s="505"/>
      <c r="U305" s="505"/>
      <c r="V305" s="505"/>
      <c r="W305" s="505"/>
    </row>
    <row r="306" spans="1:23" ht="9.9499999999999993" customHeight="1">
      <c r="A306" s="505"/>
      <c r="B306" s="505"/>
      <c r="C306" s="505"/>
      <c r="D306" s="505"/>
      <c r="E306" s="505"/>
      <c r="F306" s="505"/>
      <c r="G306" s="505"/>
      <c r="H306" s="505"/>
      <c r="I306" s="505"/>
      <c r="J306" s="505"/>
      <c r="K306" s="505"/>
      <c r="L306" s="505"/>
      <c r="M306" s="505"/>
      <c r="N306" s="505"/>
      <c r="O306" s="505"/>
      <c r="P306" s="505"/>
      <c r="Q306" s="505"/>
      <c r="R306" s="505"/>
      <c r="S306" s="505"/>
      <c r="T306" s="505"/>
      <c r="U306" s="505"/>
      <c r="V306" s="505"/>
      <c r="W306" s="505"/>
    </row>
    <row r="307" spans="1:23" ht="9.9499999999999993" customHeight="1">
      <c r="A307" s="505"/>
      <c r="B307" s="505"/>
      <c r="C307" s="505"/>
      <c r="D307" s="505"/>
      <c r="E307" s="505"/>
      <c r="F307" s="505"/>
      <c r="G307" s="505"/>
      <c r="H307" s="505"/>
      <c r="I307" s="505"/>
      <c r="J307" s="505"/>
      <c r="K307" s="505"/>
      <c r="L307" s="505"/>
      <c r="M307" s="505"/>
      <c r="N307" s="505"/>
      <c r="O307" s="505"/>
      <c r="P307" s="505"/>
      <c r="Q307" s="505"/>
      <c r="R307" s="505"/>
      <c r="S307" s="505"/>
      <c r="T307" s="505"/>
      <c r="U307" s="505"/>
      <c r="V307" s="505"/>
      <c r="W307" s="505"/>
    </row>
    <row r="308" spans="1:23" ht="9.9499999999999993" customHeight="1">
      <c r="A308" s="505"/>
      <c r="B308" s="505"/>
      <c r="C308" s="505"/>
      <c r="D308" s="505"/>
      <c r="E308" s="505"/>
      <c r="F308" s="505"/>
      <c r="G308" s="505"/>
      <c r="H308" s="505"/>
      <c r="I308" s="505"/>
      <c r="J308" s="505"/>
      <c r="K308" s="505"/>
      <c r="L308" s="505"/>
      <c r="M308" s="505"/>
      <c r="N308" s="505"/>
      <c r="O308" s="505"/>
      <c r="P308" s="505"/>
      <c r="Q308" s="505"/>
      <c r="R308" s="505"/>
      <c r="S308" s="505"/>
      <c r="T308" s="505"/>
      <c r="U308" s="505"/>
      <c r="V308" s="505"/>
      <c r="W308" s="505"/>
    </row>
    <row r="309" spans="1:23" ht="9.9499999999999993" customHeight="1">
      <c r="A309" s="505"/>
      <c r="B309" s="505"/>
      <c r="C309" s="505"/>
      <c r="D309" s="505"/>
      <c r="E309" s="505"/>
      <c r="F309" s="505"/>
      <c r="G309" s="505"/>
      <c r="H309" s="505"/>
      <c r="I309" s="505"/>
      <c r="J309" s="505"/>
      <c r="K309" s="505"/>
      <c r="L309" s="505"/>
      <c r="M309" s="505"/>
      <c r="N309" s="505"/>
      <c r="O309" s="505"/>
      <c r="P309" s="505"/>
      <c r="Q309" s="505"/>
      <c r="R309" s="505"/>
      <c r="S309" s="505"/>
      <c r="T309" s="505"/>
      <c r="U309" s="505"/>
      <c r="V309" s="505"/>
      <c r="W309" s="505"/>
    </row>
    <row r="310" spans="1:23" ht="9.9499999999999993" customHeight="1">
      <c r="A310" s="505"/>
      <c r="B310" s="505"/>
      <c r="C310" s="505"/>
      <c r="D310" s="505"/>
      <c r="E310" s="505"/>
      <c r="F310" s="505"/>
      <c r="G310" s="505"/>
      <c r="H310" s="505"/>
      <c r="I310" s="505"/>
      <c r="J310" s="505"/>
      <c r="K310" s="505"/>
      <c r="L310" s="505"/>
      <c r="M310" s="505"/>
      <c r="N310" s="505"/>
      <c r="O310" s="505"/>
      <c r="P310" s="505"/>
      <c r="Q310" s="505"/>
      <c r="R310" s="505"/>
      <c r="S310" s="505"/>
      <c r="T310" s="505"/>
      <c r="U310" s="505"/>
      <c r="V310" s="505"/>
      <c r="W310" s="505"/>
    </row>
    <row r="311" spans="1:23" ht="9.9499999999999993" customHeight="1">
      <c r="A311" s="505"/>
      <c r="B311" s="505"/>
      <c r="C311" s="505"/>
      <c r="D311" s="505"/>
      <c r="E311" s="505"/>
      <c r="F311" s="505"/>
      <c r="G311" s="505"/>
      <c r="H311" s="505"/>
      <c r="I311" s="505"/>
      <c r="J311" s="505"/>
      <c r="K311" s="505"/>
      <c r="L311" s="505"/>
      <c r="M311" s="505"/>
      <c r="N311" s="505"/>
      <c r="O311" s="505"/>
      <c r="P311" s="505"/>
      <c r="Q311" s="505"/>
      <c r="R311" s="505"/>
      <c r="S311" s="505"/>
      <c r="T311" s="505"/>
      <c r="U311" s="505"/>
      <c r="V311" s="505"/>
      <c r="W311" s="505"/>
    </row>
    <row r="312" spans="1:23" ht="9.9499999999999993" customHeight="1">
      <c r="A312" s="505"/>
      <c r="B312" s="505"/>
      <c r="C312" s="505"/>
      <c r="D312" s="505"/>
      <c r="E312" s="505"/>
      <c r="F312" s="505"/>
      <c r="G312" s="505"/>
      <c r="H312" s="505"/>
      <c r="I312" s="505"/>
      <c r="J312" s="505"/>
      <c r="K312" s="505"/>
      <c r="L312" s="505"/>
      <c r="M312" s="505"/>
      <c r="N312" s="505"/>
      <c r="O312" s="505"/>
      <c r="P312" s="505"/>
      <c r="Q312" s="505"/>
      <c r="R312" s="505"/>
      <c r="S312" s="505"/>
      <c r="T312" s="505"/>
      <c r="U312" s="505"/>
      <c r="V312" s="505"/>
      <c r="W312" s="505"/>
    </row>
    <row r="313" spans="1:23" ht="9.9499999999999993" customHeight="1">
      <c r="A313" s="505"/>
      <c r="B313" s="505"/>
      <c r="C313" s="505"/>
      <c r="D313" s="505"/>
      <c r="E313" s="505"/>
      <c r="F313" s="505"/>
      <c r="G313" s="505"/>
      <c r="H313" s="505"/>
      <c r="I313" s="505"/>
      <c r="J313" s="505"/>
      <c r="K313" s="505"/>
      <c r="L313" s="505"/>
      <c r="M313" s="505"/>
      <c r="N313" s="505"/>
      <c r="O313" s="505"/>
      <c r="P313" s="505"/>
      <c r="Q313" s="505"/>
      <c r="R313" s="505"/>
      <c r="S313" s="505"/>
      <c r="T313" s="505"/>
      <c r="U313" s="505"/>
      <c r="V313" s="505"/>
      <c r="W313" s="505"/>
    </row>
    <row r="314" spans="1:23" ht="9.9499999999999993" customHeight="1">
      <c r="A314" s="505"/>
      <c r="B314" s="505"/>
      <c r="C314" s="505"/>
      <c r="D314" s="505"/>
      <c r="E314" s="505"/>
      <c r="F314" s="505"/>
      <c r="G314" s="505"/>
      <c r="H314" s="505"/>
      <c r="I314" s="505"/>
      <c r="J314" s="505"/>
      <c r="K314" s="505"/>
      <c r="L314" s="505"/>
      <c r="M314" s="505"/>
      <c r="N314" s="505"/>
      <c r="O314" s="505"/>
      <c r="P314" s="505"/>
      <c r="Q314" s="505"/>
      <c r="R314" s="505"/>
      <c r="S314" s="505"/>
      <c r="T314" s="505"/>
      <c r="U314" s="505"/>
      <c r="V314" s="505"/>
      <c r="W314" s="505"/>
    </row>
    <row r="315" spans="1:23" ht="9.9499999999999993" customHeight="1">
      <c r="A315" s="505"/>
      <c r="B315" s="505"/>
      <c r="C315" s="505"/>
      <c r="D315" s="505"/>
      <c r="E315" s="505"/>
      <c r="F315" s="505"/>
      <c r="G315" s="505"/>
      <c r="H315" s="505"/>
      <c r="I315" s="505"/>
      <c r="J315" s="505"/>
      <c r="K315" s="505"/>
      <c r="L315" s="505"/>
      <c r="M315" s="505"/>
      <c r="N315" s="505"/>
      <c r="O315" s="505"/>
      <c r="P315" s="505"/>
      <c r="Q315" s="505"/>
      <c r="R315" s="505"/>
      <c r="S315" s="505"/>
      <c r="T315" s="505"/>
      <c r="U315" s="505"/>
      <c r="V315" s="505"/>
      <c r="W315" s="505"/>
    </row>
    <row r="316" spans="1:23" ht="9.9499999999999993" customHeight="1">
      <c r="A316" s="505"/>
      <c r="B316" s="505"/>
      <c r="C316" s="505"/>
      <c r="D316" s="505"/>
      <c r="E316" s="505"/>
      <c r="F316" s="505"/>
      <c r="G316" s="505"/>
      <c r="H316" s="505"/>
      <c r="I316" s="505"/>
      <c r="J316" s="505"/>
      <c r="K316" s="505"/>
      <c r="L316" s="505"/>
      <c r="M316" s="505"/>
      <c r="N316" s="505"/>
      <c r="O316" s="505"/>
      <c r="P316" s="505"/>
      <c r="Q316" s="505"/>
      <c r="R316" s="505"/>
      <c r="S316" s="505"/>
      <c r="T316" s="505"/>
      <c r="U316" s="505"/>
      <c r="V316" s="505"/>
      <c r="W316" s="505"/>
    </row>
    <row r="317" spans="1:23" ht="9.9499999999999993" customHeight="1">
      <c r="A317" s="505"/>
      <c r="B317" s="505"/>
      <c r="C317" s="505"/>
      <c r="D317" s="505"/>
      <c r="E317" s="505"/>
      <c r="F317" s="505"/>
      <c r="G317" s="505"/>
      <c r="H317" s="505"/>
      <c r="I317" s="505"/>
      <c r="J317" s="505"/>
      <c r="K317" s="505"/>
      <c r="L317" s="505"/>
      <c r="M317" s="505"/>
      <c r="N317" s="505"/>
      <c r="O317" s="505"/>
      <c r="P317" s="505"/>
      <c r="Q317" s="505"/>
      <c r="R317" s="505"/>
      <c r="S317" s="505"/>
      <c r="T317" s="505"/>
      <c r="U317" s="505"/>
      <c r="V317" s="505"/>
      <c r="W317" s="505"/>
    </row>
    <row r="318" spans="1:23" ht="9.9499999999999993" customHeight="1">
      <c r="A318" s="505"/>
      <c r="B318" s="505"/>
      <c r="C318" s="505"/>
      <c r="D318" s="505"/>
      <c r="E318" s="505"/>
      <c r="F318" s="505"/>
      <c r="G318" s="505"/>
      <c r="H318" s="505"/>
      <c r="I318" s="505"/>
      <c r="J318" s="505"/>
      <c r="K318" s="505"/>
      <c r="L318" s="505"/>
      <c r="M318" s="505"/>
      <c r="N318" s="505"/>
      <c r="O318" s="505"/>
      <c r="P318" s="505"/>
      <c r="Q318" s="505"/>
      <c r="R318" s="505"/>
      <c r="S318" s="505"/>
      <c r="T318" s="505"/>
      <c r="U318" s="505"/>
      <c r="V318" s="505"/>
      <c r="W318" s="505"/>
    </row>
    <row r="319" spans="1:23" ht="9.9499999999999993" customHeight="1">
      <c r="A319" s="505"/>
      <c r="B319" s="505"/>
      <c r="C319" s="505"/>
      <c r="D319" s="505"/>
      <c r="E319" s="505"/>
      <c r="F319" s="505"/>
      <c r="G319" s="505"/>
      <c r="H319" s="505"/>
      <c r="I319" s="505"/>
      <c r="J319" s="505"/>
      <c r="K319" s="505"/>
      <c r="L319" s="505"/>
      <c r="M319" s="505"/>
      <c r="N319" s="505"/>
      <c r="O319" s="505"/>
      <c r="P319" s="505"/>
      <c r="Q319" s="505"/>
      <c r="R319" s="505"/>
      <c r="S319" s="505"/>
      <c r="T319" s="505"/>
      <c r="U319" s="505"/>
      <c r="V319" s="505"/>
      <c r="W319" s="505"/>
    </row>
    <row r="320" spans="1:23" ht="9.9499999999999993" customHeight="1">
      <c r="A320" s="505"/>
      <c r="B320" s="505"/>
      <c r="C320" s="505"/>
      <c r="D320" s="505"/>
      <c r="E320" s="505"/>
      <c r="F320" s="505"/>
      <c r="G320" s="505"/>
      <c r="H320" s="505"/>
      <c r="I320" s="505"/>
      <c r="J320" s="505"/>
      <c r="K320" s="505"/>
      <c r="L320" s="505"/>
      <c r="M320" s="505"/>
      <c r="N320" s="505"/>
      <c r="O320" s="505"/>
      <c r="P320" s="505"/>
      <c r="Q320" s="505"/>
      <c r="R320" s="505"/>
      <c r="S320" s="505"/>
      <c r="T320" s="505"/>
      <c r="U320" s="505"/>
      <c r="V320" s="505"/>
      <c r="W320" s="505"/>
    </row>
    <row r="321" spans="1:23" ht="9.9499999999999993" customHeight="1">
      <c r="A321" s="505"/>
      <c r="B321" s="505"/>
      <c r="C321" s="505"/>
      <c r="D321" s="505"/>
      <c r="E321" s="505"/>
      <c r="F321" s="505"/>
      <c r="G321" s="505"/>
      <c r="H321" s="505"/>
      <c r="I321" s="505"/>
      <c r="J321" s="505"/>
      <c r="K321" s="505"/>
      <c r="L321" s="505"/>
      <c r="M321" s="505"/>
      <c r="N321" s="505"/>
      <c r="O321" s="505"/>
      <c r="P321" s="505"/>
      <c r="Q321" s="505"/>
      <c r="R321" s="505"/>
      <c r="S321" s="505"/>
      <c r="T321" s="505"/>
      <c r="U321" s="505"/>
      <c r="V321" s="505"/>
      <c r="W321" s="505"/>
    </row>
    <row r="322" spans="1:23" ht="9.9499999999999993" customHeight="1">
      <c r="A322" s="505"/>
      <c r="B322" s="505"/>
      <c r="C322" s="505"/>
      <c r="D322" s="505"/>
      <c r="E322" s="505"/>
      <c r="F322" s="505"/>
      <c r="G322" s="505"/>
      <c r="H322" s="505"/>
      <c r="I322" s="505"/>
      <c r="J322" s="505"/>
      <c r="K322" s="505"/>
      <c r="L322" s="505"/>
      <c r="M322" s="505"/>
      <c r="N322" s="505"/>
      <c r="O322" s="505"/>
      <c r="P322" s="505"/>
      <c r="Q322" s="505"/>
      <c r="R322" s="505"/>
      <c r="S322" s="505"/>
      <c r="T322" s="505"/>
      <c r="U322" s="505"/>
      <c r="V322" s="505"/>
      <c r="W322" s="505"/>
    </row>
    <row r="323" spans="1:23" ht="9.9499999999999993" customHeight="1">
      <c r="A323" s="505"/>
      <c r="B323" s="505"/>
      <c r="C323" s="505"/>
      <c r="D323" s="505"/>
      <c r="E323" s="505"/>
      <c r="F323" s="505"/>
      <c r="G323" s="505"/>
      <c r="H323" s="505"/>
      <c r="I323" s="505"/>
      <c r="J323" s="505"/>
      <c r="K323" s="505"/>
      <c r="L323" s="505"/>
      <c r="M323" s="505"/>
      <c r="N323" s="505"/>
      <c r="O323" s="505"/>
      <c r="P323" s="505"/>
      <c r="Q323" s="505"/>
      <c r="R323" s="505"/>
      <c r="S323" s="505"/>
      <c r="T323" s="505"/>
      <c r="U323" s="505"/>
      <c r="V323" s="505"/>
      <c r="W323" s="505"/>
    </row>
    <row r="324" spans="1:23" ht="9.9499999999999993" customHeight="1">
      <c r="A324" s="505"/>
      <c r="B324" s="505"/>
      <c r="C324" s="505"/>
      <c r="D324" s="505"/>
      <c r="E324" s="505"/>
      <c r="F324" s="505"/>
      <c r="G324" s="505"/>
      <c r="H324" s="505"/>
      <c r="I324" s="505"/>
      <c r="J324" s="505"/>
      <c r="K324" s="505"/>
      <c r="L324" s="505"/>
      <c r="M324" s="505"/>
      <c r="N324" s="505"/>
      <c r="O324" s="505"/>
      <c r="P324" s="505"/>
      <c r="Q324" s="505"/>
      <c r="R324" s="505"/>
      <c r="S324" s="505"/>
      <c r="T324" s="505"/>
      <c r="U324" s="505"/>
      <c r="V324" s="505"/>
      <c r="W324" s="505"/>
    </row>
    <row r="325" spans="1:23" ht="9.9499999999999993" customHeight="1">
      <c r="A325" s="505"/>
      <c r="B325" s="505"/>
      <c r="C325" s="505"/>
      <c r="D325" s="505"/>
      <c r="E325" s="505"/>
      <c r="F325" s="505"/>
      <c r="G325" s="505"/>
      <c r="H325" s="505"/>
      <c r="I325" s="505"/>
      <c r="J325" s="505"/>
      <c r="K325" s="505"/>
      <c r="L325" s="505"/>
      <c r="M325" s="505"/>
      <c r="N325" s="505"/>
      <c r="O325" s="505"/>
      <c r="P325" s="505"/>
      <c r="Q325" s="505"/>
      <c r="R325" s="505"/>
      <c r="S325" s="505"/>
      <c r="T325" s="505"/>
      <c r="U325" s="505"/>
      <c r="V325" s="505"/>
      <c r="W325" s="505"/>
    </row>
    <row r="326" spans="1:23" ht="9.9499999999999993" customHeight="1">
      <c r="A326" s="505"/>
      <c r="B326" s="505"/>
      <c r="C326" s="505"/>
      <c r="D326" s="505"/>
      <c r="E326" s="505"/>
      <c r="F326" s="505"/>
      <c r="G326" s="505"/>
      <c r="H326" s="505"/>
      <c r="I326" s="505"/>
      <c r="J326" s="505"/>
      <c r="K326" s="505"/>
      <c r="L326" s="505"/>
      <c r="M326" s="505"/>
      <c r="N326" s="505"/>
      <c r="O326" s="505"/>
      <c r="P326" s="505"/>
      <c r="Q326" s="505"/>
      <c r="R326" s="505"/>
      <c r="S326" s="505"/>
      <c r="T326" s="505"/>
      <c r="U326" s="505"/>
      <c r="V326" s="505"/>
      <c r="W326" s="505"/>
    </row>
    <row r="327" spans="1:23" ht="9.9499999999999993" customHeight="1">
      <c r="A327" s="505"/>
      <c r="B327" s="505"/>
      <c r="C327" s="505"/>
      <c r="D327" s="505"/>
      <c r="E327" s="505"/>
      <c r="F327" s="505"/>
      <c r="G327" s="505"/>
      <c r="H327" s="505"/>
      <c r="I327" s="505"/>
      <c r="J327" s="505"/>
      <c r="K327" s="505"/>
      <c r="L327" s="505"/>
      <c r="M327" s="505"/>
      <c r="N327" s="505"/>
      <c r="O327" s="505"/>
      <c r="P327" s="505"/>
      <c r="Q327" s="505"/>
      <c r="R327" s="505"/>
      <c r="S327" s="505"/>
      <c r="T327" s="505"/>
      <c r="U327" s="505"/>
      <c r="V327" s="505"/>
      <c r="W327" s="505"/>
    </row>
    <row r="328" spans="1:23" ht="9.9499999999999993" customHeight="1">
      <c r="A328" s="505"/>
      <c r="B328" s="505"/>
      <c r="C328" s="505"/>
      <c r="D328" s="505"/>
      <c r="E328" s="505"/>
      <c r="F328" s="505"/>
      <c r="G328" s="505"/>
      <c r="H328" s="505"/>
      <c r="I328" s="505"/>
      <c r="J328" s="505"/>
      <c r="K328" s="505"/>
      <c r="L328" s="505"/>
      <c r="M328" s="505"/>
      <c r="N328" s="505"/>
      <c r="O328" s="505"/>
      <c r="P328" s="505"/>
      <c r="Q328" s="505"/>
      <c r="R328" s="505"/>
      <c r="S328" s="505"/>
      <c r="T328" s="505"/>
      <c r="U328" s="505"/>
      <c r="V328" s="505"/>
      <c r="W328" s="505"/>
    </row>
    <row r="329" spans="1:23" ht="9.9499999999999993" customHeight="1">
      <c r="A329" s="505"/>
      <c r="B329" s="505"/>
      <c r="C329" s="505"/>
      <c r="D329" s="505"/>
      <c r="E329" s="505"/>
      <c r="F329" s="505"/>
      <c r="G329" s="505"/>
      <c r="H329" s="505"/>
      <c r="I329" s="505"/>
      <c r="J329" s="505"/>
      <c r="K329" s="505"/>
      <c r="L329" s="505"/>
      <c r="M329" s="505"/>
      <c r="N329" s="505"/>
      <c r="O329" s="505"/>
      <c r="P329" s="505"/>
      <c r="Q329" s="505"/>
      <c r="R329" s="505"/>
      <c r="S329" s="505"/>
      <c r="T329" s="505"/>
      <c r="U329" s="505"/>
      <c r="V329" s="505"/>
      <c r="W329" s="505"/>
    </row>
    <row r="330" spans="1:23" ht="9.9499999999999993" customHeight="1">
      <c r="A330" s="505"/>
      <c r="B330" s="505"/>
      <c r="C330" s="505"/>
      <c r="D330" s="505"/>
      <c r="E330" s="505"/>
      <c r="F330" s="505"/>
      <c r="G330" s="505"/>
      <c r="H330" s="505"/>
      <c r="I330" s="505"/>
      <c r="J330" s="505"/>
      <c r="K330" s="505"/>
      <c r="L330" s="505"/>
      <c r="M330" s="505"/>
      <c r="N330" s="505"/>
      <c r="O330" s="505"/>
      <c r="P330" s="505"/>
      <c r="Q330" s="505"/>
      <c r="R330" s="505"/>
      <c r="S330" s="505"/>
      <c r="T330" s="505"/>
      <c r="U330" s="505"/>
      <c r="V330" s="505"/>
      <c r="W330" s="505"/>
    </row>
    <row r="331" spans="1:23" ht="9.9499999999999993" customHeight="1">
      <c r="A331" s="505"/>
      <c r="B331" s="505"/>
      <c r="C331" s="505"/>
      <c r="D331" s="505"/>
      <c r="E331" s="505"/>
      <c r="F331" s="505"/>
      <c r="G331" s="505"/>
      <c r="H331" s="505"/>
      <c r="I331" s="505"/>
      <c r="J331" s="505"/>
      <c r="K331" s="505"/>
      <c r="L331" s="505"/>
      <c r="M331" s="505"/>
      <c r="N331" s="505"/>
      <c r="O331" s="505"/>
      <c r="P331" s="505"/>
      <c r="Q331" s="505"/>
      <c r="R331" s="505"/>
      <c r="S331" s="505"/>
      <c r="T331" s="505"/>
      <c r="U331" s="505"/>
      <c r="V331" s="505"/>
      <c r="W331" s="505"/>
    </row>
    <row r="332" spans="1:23" ht="9.9499999999999993" customHeight="1">
      <c r="A332" s="505"/>
      <c r="B332" s="505"/>
      <c r="C332" s="505"/>
      <c r="D332" s="505"/>
      <c r="E332" s="505"/>
      <c r="F332" s="505"/>
      <c r="G332" s="505"/>
      <c r="H332" s="505"/>
      <c r="I332" s="505"/>
      <c r="J332" s="505"/>
      <c r="K332" s="505"/>
      <c r="L332" s="505"/>
      <c r="M332" s="505"/>
      <c r="N332" s="505"/>
      <c r="O332" s="505"/>
      <c r="P332" s="505"/>
      <c r="Q332" s="505"/>
      <c r="R332" s="505"/>
      <c r="S332" s="505"/>
      <c r="T332" s="505"/>
      <c r="U332" s="505"/>
      <c r="V332" s="505"/>
      <c r="W332" s="505"/>
    </row>
    <row r="333" spans="1:23" ht="9.9499999999999993" customHeight="1">
      <c r="A333" s="505"/>
      <c r="B333" s="505"/>
      <c r="C333" s="505"/>
      <c r="D333" s="505"/>
      <c r="E333" s="505"/>
      <c r="F333" s="505"/>
      <c r="G333" s="505"/>
      <c r="H333" s="505"/>
      <c r="I333" s="505"/>
      <c r="J333" s="505"/>
      <c r="K333" s="505"/>
      <c r="L333" s="505"/>
      <c r="M333" s="505"/>
      <c r="N333" s="505"/>
      <c r="O333" s="505"/>
      <c r="P333" s="505"/>
      <c r="Q333" s="505"/>
      <c r="R333" s="505"/>
      <c r="S333" s="505"/>
      <c r="T333" s="505"/>
      <c r="U333" s="505"/>
      <c r="V333" s="505"/>
      <c r="W333" s="505"/>
    </row>
    <row r="334" spans="1:23" ht="9.9499999999999993" customHeight="1">
      <c r="A334" s="505"/>
      <c r="B334" s="505"/>
      <c r="C334" s="505"/>
      <c r="D334" s="505"/>
      <c r="E334" s="505"/>
      <c r="F334" s="505"/>
      <c r="G334" s="505"/>
      <c r="H334" s="505"/>
      <c r="I334" s="505"/>
      <c r="J334" s="505"/>
      <c r="K334" s="505"/>
      <c r="L334" s="505"/>
      <c r="M334" s="505"/>
      <c r="N334" s="505"/>
      <c r="O334" s="505"/>
      <c r="P334" s="505"/>
      <c r="Q334" s="505"/>
      <c r="R334" s="505"/>
      <c r="S334" s="505"/>
      <c r="T334" s="505"/>
      <c r="U334" s="505"/>
      <c r="V334" s="505"/>
      <c r="W334" s="505"/>
    </row>
    <row r="335" spans="1:23" ht="9.9499999999999993" customHeight="1">
      <c r="A335" s="505"/>
      <c r="B335" s="505"/>
      <c r="C335" s="505"/>
      <c r="D335" s="505"/>
      <c r="E335" s="505"/>
      <c r="F335" s="505"/>
      <c r="G335" s="505"/>
      <c r="H335" s="505"/>
      <c r="I335" s="505"/>
      <c r="J335" s="505"/>
      <c r="K335" s="505"/>
      <c r="L335" s="505"/>
      <c r="M335" s="505"/>
      <c r="N335" s="505"/>
      <c r="O335" s="505"/>
      <c r="P335" s="505"/>
      <c r="Q335" s="505"/>
      <c r="R335" s="505"/>
      <c r="S335" s="505"/>
      <c r="T335" s="505"/>
      <c r="U335" s="505"/>
      <c r="V335" s="505"/>
      <c r="W335" s="505"/>
    </row>
    <row r="336" spans="1:23" ht="9.9499999999999993" customHeight="1">
      <c r="A336" s="505"/>
      <c r="B336" s="505"/>
      <c r="C336" s="505"/>
      <c r="D336" s="505"/>
      <c r="E336" s="505"/>
      <c r="F336" s="505"/>
      <c r="G336" s="505"/>
      <c r="H336" s="505"/>
      <c r="I336" s="505"/>
      <c r="J336" s="505"/>
      <c r="K336" s="505"/>
      <c r="L336" s="505"/>
      <c r="M336" s="505"/>
      <c r="N336" s="505"/>
      <c r="O336" s="505"/>
      <c r="P336" s="505"/>
      <c r="Q336" s="505"/>
      <c r="R336" s="505"/>
      <c r="S336" s="505"/>
      <c r="T336" s="505"/>
      <c r="U336" s="505"/>
      <c r="V336" s="505"/>
      <c r="W336" s="505"/>
    </row>
    <row r="337" spans="1:23" ht="9.9499999999999993" customHeight="1">
      <c r="A337" s="505"/>
      <c r="B337" s="505"/>
      <c r="C337" s="505"/>
      <c r="D337" s="505"/>
      <c r="E337" s="505"/>
      <c r="F337" s="505"/>
      <c r="G337" s="505"/>
      <c r="H337" s="505"/>
      <c r="I337" s="505"/>
      <c r="J337" s="505"/>
      <c r="K337" s="505"/>
      <c r="L337" s="505"/>
      <c r="M337" s="505"/>
      <c r="N337" s="505"/>
      <c r="O337" s="505"/>
      <c r="P337" s="505"/>
      <c r="Q337" s="505"/>
      <c r="R337" s="505"/>
      <c r="S337" s="505"/>
      <c r="T337" s="505"/>
      <c r="U337" s="505"/>
      <c r="V337" s="505"/>
      <c r="W337" s="505"/>
    </row>
    <row r="338" spans="1:23" ht="9.9499999999999993" customHeight="1">
      <c r="A338" s="505"/>
      <c r="B338" s="505"/>
      <c r="C338" s="505"/>
      <c r="D338" s="505"/>
      <c r="E338" s="505"/>
      <c r="F338" s="505"/>
      <c r="G338" s="505"/>
      <c r="H338" s="505"/>
      <c r="I338" s="505"/>
      <c r="J338" s="505"/>
      <c r="K338" s="505"/>
      <c r="L338" s="505"/>
      <c r="M338" s="505"/>
      <c r="N338" s="505"/>
      <c r="O338" s="505"/>
      <c r="P338" s="505"/>
      <c r="Q338" s="505"/>
      <c r="R338" s="505"/>
      <c r="S338" s="505"/>
      <c r="T338" s="505"/>
      <c r="U338" s="505"/>
      <c r="V338" s="505"/>
      <c r="W338" s="505"/>
    </row>
    <row r="339" spans="1:23" ht="9.9499999999999993" customHeight="1">
      <c r="A339" s="505"/>
      <c r="B339" s="505"/>
      <c r="C339" s="505"/>
      <c r="D339" s="505"/>
      <c r="E339" s="505"/>
      <c r="F339" s="505"/>
      <c r="G339" s="505"/>
      <c r="H339" s="505"/>
      <c r="I339" s="505"/>
      <c r="J339" s="505"/>
      <c r="K339" s="505"/>
      <c r="L339" s="505"/>
      <c r="M339" s="505"/>
      <c r="N339" s="505"/>
      <c r="O339" s="505"/>
      <c r="P339" s="505"/>
      <c r="Q339" s="505"/>
      <c r="R339" s="505"/>
      <c r="S339" s="505"/>
      <c r="T339" s="505"/>
      <c r="U339" s="505"/>
      <c r="V339" s="505"/>
      <c r="W339" s="505"/>
    </row>
    <row r="340" spans="1:23" ht="9.9499999999999993" customHeight="1">
      <c r="A340" s="505"/>
      <c r="B340" s="505"/>
      <c r="C340" s="505"/>
      <c r="D340" s="505"/>
      <c r="E340" s="505"/>
      <c r="F340" s="505"/>
      <c r="G340" s="505"/>
      <c r="H340" s="505"/>
      <c r="I340" s="505"/>
      <c r="J340" s="505"/>
      <c r="K340" s="505"/>
      <c r="L340" s="505"/>
      <c r="M340" s="505"/>
      <c r="N340" s="505"/>
      <c r="O340" s="505"/>
      <c r="P340" s="505"/>
      <c r="Q340" s="505"/>
      <c r="R340" s="505"/>
      <c r="S340" s="505"/>
      <c r="T340" s="505"/>
      <c r="U340" s="505"/>
      <c r="V340" s="505"/>
      <c r="W340" s="505"/>
    </row>
    <row r="341" spans="1:23" ht="9.9499999999999993" customHeight="1">
      <c r="A341" s="505"/>
      <c r="B341" s="505"/>
      <c r="C341" s="505"/>
      <c r="D341" s="505"/>
      <c r="E341" s="505"/>
      <c r="F341" s="505"/>
      <c r="G341" s="505"/>
      <c r="H341" s="505"/>
      <c r="I341" s="505"/>
      <c r="J341" s="505"/>
      <c r="K341" s="505"/>
      <c r="L341" s="505"/>
      <c r="M341" s="505"/>
      <c r="N341" s="505"/>
      <c r="O341" s="505"/>
      <c r="P341" s="505"/>
      <c r="Q341" s="505"/>
      <c r="R341" s="505"/>
      <c r="S341" s="505"/>
      <c r="T341" s="505"/>
      <c r="U341" s="505"/>
      <c r="V341" s="505"/>
      <c r="W341" s="505"/>
    </row>
    <row r="342" spans="1:23" ht="9.9499999999999993" customHeight="1">
      <c r="A342" s="505"/>
      <c r="B342" s="505"/>
      <c r="C342" s="505"/>
      <c r="D342" s="505"/>
      <c r="E342" s="505"/>
      <c r="F342" s="505"/>
      <c r="G342" s="505"/>
      <c r="H342" s="505"/>
      <c r="I342" s="505"/>
      <c r="J342" s="505"/>
      <c r="K342" s="505"/>
      <c r="L342" s="505"/>
      <c r="M342" s="505"/>
      <c r="N342" s="505"/>
      <c r="O342" s="505"/>
      <c r="P342" s="505"/>
      <c r="Q342" s="505"/>
      <c r="R342" s="505"/>
      <c r="S342" s="505"/>
      <c r="T342" s="505"/>
      <c r="U342" s="505"/>
      <c r="V342" s="505"/>
      <c r="W342" s="505"/>
    </row>
    <row r="343" spans="1:23" ht="9.9499999999999993" customHeight="1">
      <c r="A343" s="505"/>
      <c r="B343" s="505"/>
      <c r="C343" s="505"/>
      <c r="D343" s="505"/>
      <c r="E343" s="505"/>
      <c r="F343" s="505"/>
      <c r="G343" s="505"/>
      <c r="H343" s="505"/>
      <c r="I343" s="505"/>
      <c r="J343" s="505"/>
      <c r="K343" s="505"/>
      <c r="L343" s="505"/>
      <c r="M343" s="505"/>
      <c r="N343" s="505"/>
      <c r="O343" s="505"/>
      <c r="P343" s="505"/>
      <c r="Q343" s="505"/>
      <c r="R343" s="505"/>
      <c r="S343" s="505"/>
      <c r="T343" s="505"/>
      <c r="U343" s="505"/>
      <c r="V343" s="505"/>
      <c r="W343" s="505"/>
    </row>
    <row r="344" spans="1:23" ht="9.9499999999999993" customHeight="1">
      <c r="A344" s="505"/>
      <c r="B344" s="505"/>
      <c r="C344" s="505"/>
      <c r="D344" s="505"/>
      <c r="E344" s="505"/>
      <c r="F344" s="505"/>
      <c r="G344" s="505"/>
      <c r="H344" s="505"/>
      <c r="I344" s="505"/>
      <c r="J344" s="505"/>
      <c r="K344" s="505"/>
      <c r="L344" s="505"/>
      <c r="M344" s="505"/>
      <c r="N344" s="505"/>
      <c r="O344" s="505"/>
      <c r="P344" s="505"/>
      <c r="Q344" s="505"/>
      <c r="R344" s="505"/>
      <c r="S344" s="505"/>
      <c r="T344" s="505"/>
      <c r="U344" s="505"/>
      <c r="V344" s="505"/>
      <c r="W344" s="505"/>
    </row>
    <row r="345" spans="1:23" ht="9.9499999999999993" customHeight="1">
      <c r="A345" s="505"/>
      <c r="B345" s="505"/>
      <c r="C345" s="505"/>
      <c r="D345" s="505"/>
      <c r="E345" s="505"/>
      <c r="F345" s="505"/>
      <c r="G345" s="505"/>
      <c r="H345" s="505"/>
      <c r="I345" s="505"/>
      <c r="J345" s="505"/>
      <c r="K345" s="505"/>
      <c r="L345" s="505"/>
      <c r="M345" s="505"/>
      <c r="N345" s="505"/>
      <c r="O345" s="505"/>
      <c r="P345" s="505"/>
      <c r="Q345" s="505"/>
      <c r="R345" s="505"/>
      <c r="S345" s="505"/>
      <c r="T345" s="505"/>
      <c r="U345" s="505"/>
      <c r="V345" s="505"/>
      <c r="W345" s="505"/>
    </row>
    <row r="346" spans="1:23" ht="9.9499999999999993" customHeight="1">
      <c r="A346" s="505"/>
      <c r="B346" s="505"/>
      <c r="C346" s="505"/>
      <c r="D346" s="505"/>
      <c r="E346" s="505"/>
      <c r="F346" s="505"/>
      <c r="G346" s="505"/>
      <c r="H346" s="505"/>
      <c r="I346" s="505"/>
      <c r="J346" s="505"/>
      <c r="K346" s="505"/>
      <c r="L346" s="505"/>
      <c r="M346" s="505"/>
      <c r="N346" s="505"/>
      <c r="O346" s="505"/>
      <c r="P346" s="505"/>
      <c r="Q346" s="505"/>
      <c r="R346" s="505"/>
      <c r="S346" s="505"/>
      <c r="T346" s="505"/>
      <c r="U346" s="505"/>
      <c r="V346" s="505"/>
      <c r="W346" s="505"/>
    </row>
    <row r="347" spans="1:23" ht="9.9499999999999993" customHeight="1">
      <c r="A347" s="505"/>
      <c r="B347" s="505"/>
      <c r="C347" s="505"/>
      <c r="D347" s="505"/>
      <c r="E347" s="505"/>
      <c r="F347" s="505"/>
      <c r="G347" s="505"/>
      <c r="H347" s="505"/>
      <c r="I347" s="505"/>
      <c r="J347" s="505"/>
      <c r="K347" s="505"/>
      <c r="L347" s="505"/>
      <c r="M347" s="505"/>
      <c r="N347" s="505"/>
      <c r="O347" s="505"/>
      <c r="P347" s="505"/>
      <c r="Q347" s="505"/>
      <c r="R347" s="505"/>
      <c r="S347" s="505"/>
      <c r="T347" s="505"/>
      <c r="U347" s="505"/>
      <c r="V347" s="505"/>
      <c r="W347" s="505"/>
    </row>
    <row r="348" spans="1:23" ht="9.9499999999999993" customHeight="1">
      <c r="A348" s="505"/>
      <c r="B348" s="505"/>
      <c r="C348" s="505"/>
      <c r="D348" s="505"/>
      <c r="E348" s="505"/>
      <c r="F348" s="505"/>
      <c r="G348" s="505"/>
      <c r="H348" s="505"/>
      <c r="I348" s="505"/>
      <c r="J348" s="505"/>
      <c r="K348" s="505"/>
      <c r="L348" s="505"/>
      <c r="M348" s="505"/>
      <c r="N348" s="505"/>
      <c r="O348" s="505"/>
      <c r="P348" s="505"/>
      <c r="Q348" s="505"/>
      <c r="R348" s="505"/>
      <c r="S348" s="505"/>
      <c r="T348" s="505"/>
      <c r="U348" s="505"/>
      <c r="V348" s="505"/>
      <c r="W348" s="505"/>
    </row>
    <row r="349" spans="1:23" ht="9.9499999999999993" customHeight="1">
      <c r="A349" s="505"/>
      <c r="B349" s="505"/>
      <c r="C349" s="505"/>
      <c r="D349" s="505"/>
      <c r="E349" s="505"/>
      <c r="F349" s="505"/>
      <c r="G349" s="505"/>
      <c r="H349" s="505"/>
      <c r="I349" s="505"/>
      <c r="J349" s="505"/>
      <c r="K349" s="505"/>
      <c r="L349" s="505"/>
      <c r="M349" s="505"/>
      <c r="N349" s="505"/>
      <c r="O349" s="505"/>
      <c r="P349" s="505"/>
      <c r="Q349" s="505"/>
      <c r="R349" s="505"/>
      <c r="S349" s="505"/>
      <c r="T349" s="505"/>
      <c r="U349" s="505"/>
      <c r="V349" s="505"/>
      <c r="W349" s="505"/>
    </row>
    <row r="350" spans="1:23" ht="9.9499999999999993" customHeight="1">
      <c r="A350" s="505"/>
      <c r="B350" s="505"/>
      <c r="C350" s="505"/>
      <c r="D350" s="505"/>
      <c r="E350" s="505"/>
      <c r="F350" s="505"/>
      <c r="G350" s="505"/>
      <c r="H350" s="505"/>
      <c r="I350" s="505"/>
      <c r="J350" s="505"/>
      <c r="K350" s="505"/>
      <c r="L350" s="505"/>
      <c r="M350" s="505"/>
      <c r="N350" s="505"/>
      <c r="O350" s="505"/>
      <c r="P350" s="505"/>
      <c r="Q350" s="505"/>
      <c r="R350" s="505"/>
      <c r="S350" s="505"/>
      <c r="T350" s="505"/>
      <c r="U350" s="505"/>
      <c r="V350" s="505"/>
      <c r="W350" s="505"/>
    </row>
    <row r="351" spans="1:23" ht="9.9499999999999993" customHeight="1">
      <c r="A351" s="505"/>
      <c r="B351" s="505"/>
      <c r="C351" s="505"/>
      <c r="D351" s="505"/>
      <c r="E351" s="505"/>
      <c r="F351" s="505"/>
      <c r="G351" s="505"/>
      <c r="H351" s="505"/>
      <c r="I351" s="505"/>
      <c r="J351" s="505"/>
      <c r="K351" s="505"/>
      <c r="L351" s="505"/>
      <c r="M351" s="505"/>
      <c r="N351" s="505"/>
      <c r="O351" s="505"/>
      <c r="P351" s="505"/>
      <c r="Q351" s="505"/>
      <c r="R351" s="505"/>
      <c r="S351" s="505"/>
      <c r="T351" s="505"/>
      <c r="U351" s="505"/>
      <c r="V351" s="505"/>
      <c r="W351" s="505"/>
    </row>
    <row r="352" spans="1:23" ht="9.9499999999999993" customHeight="1">
      <c r="A352" s="505"/>
      <c r="B352" s="505"/>
      <c r="C352" s="505"/>
      <c r="D352" s="505"/>
      <c r="E352" s="505"/>
      <c r="F352" s="505"/>
      <c r="G352" s="505"/>
      <c r="H352" s="505"/>
      <c r="I352" s="505"/>
      <c r="J352" s="505"/>
      <c r="K352" s="505"/>
      <c r="L352" s="505"/>
      <c r="M352" s="505"/>
      <c r="N352" s="505"/>
      <c r="O352" s="505"/>
      <c r="P352" s="505"/>
      <c r="Q352" s="505"/>
      <c r="R352" s="505"/>
      <c r="S352" s="505"/>
      <c r="T352" s="505"/>
      <c r="U352" s="505"/>
      <c r="V352" s="505"/>
      <c r="W352" s="505"/>
    </row>
    <row r="353" spans="1:23" ht="9.9499999999999993" customHeight="1">
      <c r="A353" s="505"/>
      <c r="B353" s="505"/>
      <c r="C353" s="505"/>
      <c r="D353" s="505"/>
      <c r="E353" s="505"/>
      <c r="F353" s="505"/>
      <c r="G353" s="505"/>
      <c r="H353" s="505"/>
      <c r="I353" s="505"/>
      <c r="J353" s="505"/>
      <c r="K353" s="505"/>
      <c r="L353" s="505"/>
      <c r="M353" s="505"/>
      <c r="N353" s="505"/>
      <c r="O353" s="505"/>
      <c r="P353" s="505"/>
      <c r="Q353" s="505"/>
      <c r="R353" s="505"/>
      <c r="S353" s="505"/>
      <c r="T353" s="505"/>
      <c r="U353" s="505"/>
      <c r="V353" s="505"/>
      <c r="W353" s="505"/>
    </row>
    <row r="354" spans="1:23" ht="9.9499999999999993" customHeight="1">
      <c r="A354" s="505"/>
      <c r="B354" s="505"/>
      <c r="C354" s="505"/>
      <c r="D354" s="505"/>
      <c r="E354" s="505"/>
      <c r="F354" s="505"/>
      <c r="G354" s="505"/>
      <c r="H354" s="505"/>
      <c r="I354" s="505"/>
      <c r="J354" s="505"/>
      <c r="K354" s="505"/>
      <c r="L354" s="505"/>
      <c r="M354" s="505"/>
      <c r="N354" s="505"/>
      <c r="O354" s="505"/>
      <c r="P354" s="505"/>
      <c r="Q354" s="505"/>
      <c r="R354" s="505"/>
      <c r="S354" s="505"/>
      <c r="T354" s="505"/>
      <c r="U354" s="505"/>
      <c r="V354" s="505"/>
      <c r="W354" s="505"/>
    </row>
    <row r="355" spans="1:23" ht="9.9499999999999993" customHeight="1">
      <c r="A355" s="505"/>
      <c r="B355" s="505"/>
      <c r="C355" s="505"/>
      <c r="D355" s="505"/>
      <c r="E355" s="505"/>
      <c r="F355" s="505"/>
      <c r="G355" s="505"/>
      <c r="H355" s="505"/>
      <c r="I355" s="505"/>
      <c r="J355" s="505"/>
      <c r="K355" s="505"/>
      <c r="L355" s="505"/>
      <c r="M355" s="505"/>
      <c r="N355" s="505"/>
      <c r="O355" s="505"/>
      <c r="P355" s="505"/>
      <c r="Q355" s="505"/>
      <c r="R355" s="505"/>
      <c r="S355" s="505"/>
      <c r="T355" s="505"/>
      <c r="U355" s="505"/>
      <c r="V355" s="505"/>
      <c r="W355" s="505"/>
    </row>
    <row r="356" spans="1:23" ht="9.9499999999999993" customHeight="1">
      <c r="A356" s="505"/>
      <c r="B356" s="505"/>
      <c r="C356" s="505"/>
      <c r="D356" s="505"/>
      <c r="E356" s="505"/>
      <c r="F356" s="505"/>
      <c r="G356" s="505"/>
      <c r="H356" s="505"/>
      <c r="I356" s="505"/>
      <c r="J356" s="505"/>
      <c r="K356" s="505"/>
      <c r="L356" s="505"/>
      <c r="M356" s="505"/>
      <c r="N356" s="505"/>
      <c r="O356" s="505"/>
      <c r="P356" s="505"/>
      <c r="Q356" s="505"/>
      <c r="R356" s="505"/>
      <c r="S356" s="505"/>
      <c r="T356" s="505"/>
      <c r="U356" s="505"/>
      <c r="V356" s="505"/>
      <c r="W356" s="505"/>
    </row>
    <row r="357" spans="1:23" ht="9.9499999999999993" customHeight="1">
      <c r="A357" s="505"/>
      <c r="B357" s="505"/>
      <c r="C357" s="505"/>
      <c r="D357" s="505"/>
      <c r="E357" s="505"/>
      <c r="F357" s="505"/>
      <c r="G357" s="505"/>
      <c r="H357" s="505"/>
      <c r="I357" s="505"/>
      <c r="J357" s="505"/>
      <c r="K357" s="505"/>
      <c r="L357" s="505"/>
      <c r="M357" s="505"/>
      <c r="N357" s="505"/>
      <c r="O357" s="505"/>
      <c r="P357" s="505"/>
      <c r="Q357" s="505"/>
      <c r="R357" s="505"/>
      <c r="S357" s="505"/>
      <c r="T357" s="505"/>
      <c r="U357" s="505"/>
      <c r="V357" s="505"/>
      <c r="W357" s="505"/>
    </row>
    <row r="358" spans="1:23" ht="9.9499999999999993" customHeight="1">
      <c r="A358" s="505"/>
      <c r="B358" s="505"/>
      <c r="C358" s="505"/>
      <c r="D358" s="505"/>
      <c r="E358" s="505"/>
      <c r="F358" s="505"/>
      <c r="G358" s="505"/>
      <c r="H358" s="505"/>
      <c r="I358" s="505"/>
      <c r="J358" s="505"/>
      <c r="K358" s="505"/>
      <c r="L358" s="505"/>
      <c r="M358" s="505"/>
      <c r="N358" s="505"/>
      <c r="O358" s="505"/>
      <c r="P358" s="505"/>
      <c r="Q358" s="505"/>
      <c r="R358" s="505"/>
      <c r="S358" s="505"/>
      <c r="T358" s="505"/>
      <c r="U358" s="505"/>
      <c r="V358" s="505"/>
      <c r="W358" s="505"/>
    </row>
    <row r="359" spans="1:23" ht="9.9499999999999993" customHeight="1">
      <c r="A359" s="505"/>
      <c r="B359" s="505"/>
      <c r="C359" s="505"/>
      <c r="D359" s="505"/>
      <c r="E359" s="505"/>
      <c r="F359" s="505"/>
      <c r="G359" s="505"/>
      <c r="H359" s="505"/>
      <c r="I359" s="505"/>
      <c r="J359" s="505"/>
      <c r="K359" s="505"/>
      <c r="L359" s="505"/>
      <c r="M359" s="505"/>
      <c r="N359" s="505"/>
      <c r="O359" s="505"/>
      <c r="P359" s="505"/>
      <c r="Q359" s="505"/>
      <c r="R359" s="505"/>
      <c r="S359" s="505"/>
      <c r="T359" s="505"/>
      <c r="U359" s="505"/>
      <c r="V359" s="505"/>
      <c r="W359" s="505"/>
    </row>
    <row r="360" spans="1:23" ht="9.9499999999999993" customHeight="1">
      <c r="A360" s="505"/>
      <c r="B360" s="505"/>
      <c r="C360" s="505"/>
      <c r="D360" s="505"/>
      <c r="E360" s="505"/>
      <c r="F360" s="505"/>
      <c r="G360" s="505"/>
      <c r="H360" s="505"/>
      <c r="I360" s="505"/>
      <c r="J360" s="505"/>
      <c r="K360" s="505"/>
      <c r="L360" s="505"/>
      <c r="M360" s="505"/>
      <c r="N360" s="505"/>
      <c r="O360" s="505"/>
      <c r="P360" s="505"/>
      <c r="Q360" s="505"/>
      <c r="R360" s="505"/>
      <c r="S360" s="505"/>
      <c r="T360" s="505"/>
      <c r="U360" s="505"/>
      <c r="V360" s="505"/>
      <c r="W360" s="505"/>
    </row>
    <row r="361" spans="1:23" ht="9.9499999999999993" customHeight="1">
      <c r="A361" s="505"/>
      <c r="B361" s="505"/>
      <c r="C361" s="505"/>
      <c r="D361" s="505"/>
      <c r="E361" s="505"/>
      <c r="F361" s="505"/>
      <c r="G361" s="505"/>
      <c r="H361" s="505"/>
      <c r="I361" s="505"/>
      <c r="J361" s="505"/>
      <c r="K361" s="505"/>
      <c r="L361" s="505"/>
      <c r="M361" s="505"/>
      <c r="N361" s="505"/>
      <c r="O361" s="505"/>
      <c r="P361" s="505"/>
      <c r="Q361" s="505"/>
      <c r="R361" s="505"/>
      <c r="S361" s="505"/>
      <c r="T361" s="505"/>
      <c r="U361" s="505"/>
      <c r="V361" s="505"/>
      <c r="W361" s="505"/>
    </row>
    <row r="362" spans="1:23" ht="9.9499999999999993" customHeight="1">
      <c r="A362" s="505"/>
      <c r="B362" s="505"/>
      <c r="C362" s="505"/>
      <c r="D362" s="505"/>
      <c r="E362" s="505"/>
      <c r="F362" s="505"/>
      <c r="G362" s="505"/>
      <c r="H362" s="505"/>
      <c r="I362" s="505"/>
      <c r="J362" s="505"/>
      <c r="K362" s="505"/>
      <c r="L362" s="505"/>
      <c r="M362" s="505"/>
      <c r="N362" s="505"/>
      <c r="O362" s="505"/>
      <c r="P362" s="505"/>
      <c r="Q362" s="505"/>
      <c r="R362" s="505"/>
      <c r="S362" s="505"/>
      <c r="T362" s="505"/>
      <c r="U362" s="505"/>
      <c r="V362" s="505"/>
      <c r="W362" s="505"/>
    </row>
    <row r="363" spans="1:23" ht="9.9499999999999993" customHeight="1">
      <c r="A363" s="505"/>
      <c r="B363" s="505"/>
      <c r="C363" s="505"/>
      <c r="D363" s="505"/>
      <c r="E363" s="505"/>
      <c r="F363" s="505"/>
      <c r="G363" s="505"/>
      <c r="H363" s="505"/>
      <c r="I363" s="505"/>
      <c r="J363" s="505"/>
      <c r="K363" s="505"/>
      <c r="L363" s="505"/>
      <c r="M363" s="505"/>
      <c r="N363" s="505"/>
      <c r="O363" s="505"/>
      <c r="P363" s="505"/>
      <c r="Q363" s="505"/>
      <c r="R363" s="505"/>
      <c r="S363" s="505"/>
      <c r="T363" s="505"/>
      <c r="U363" s="505"/>
      <c r="V363" s="505"/>
      <c r="W363" s="505"/>
    </row>
    <row r="364" spans="1:23" ht="9.9499999999999993" customHeight="1">
      <c r="A364" s="505"/>
      <c r="B364" s="505"/>
      <c r="C364" s="505"/>
      <c r="D364" s="505"/>
      <c r="E364" s="505"/>
      <c r="F364" s="505"/>
      <c r="G364" s="505"/>
      <c r="H364" s="505"/>
      <c r="I364" s="505"/>
      <c r="J364" s="505"/>
      <c r="K364" s="505"/>
      <c r="L364" s="505"/>
      <c r="M364" s="505"/>
      <c r="N364" s="505"/>
      <c r="O364" s="505"/>
      <c r="P364" s="505"/>
      <c r="Q364" s="505"/>
      <c r="R364" s="505"/>
      <c r="S364" s="505"/>
      <c r="T364" s="505"/>
      <c r="U364" s="505"/>
      <c r="V364" s="505"/>
      <c r="W364" s="505"/>
    </row>
    <row r="365" spans="1:23" ht="9.9499999999999993" customHeight="1">
      <c r="A365" s="505"/>
      <c r="B365" s="505"/>
      <c r="C365" s="505"/>
      <c r="D365" s="505"/>
      <c r="E365" s="505"/>
      <c r="F365" s="505"/>
      <c r="G365" s="505"/>
      <c r="H365" s="505"/>
      <c r="I365" s="505"/>
      <c r="J365" s="505"/>
      <c r="K365" s="505"/>
      <c r="L365" s="505"/>
      <c r="M365" s="505"/>
      <c r="N365" s="505"/>
      <c r="O365" s="505"/>
      <c r="P365" s="505"/>
      <c r="Q365" s="505"/>
      <c r="R365" s="505"/>
      <c r="S365" s="505"/>
      <c r="T365" s="505"/>
      <c r="U365" s="505"/>
      <c r="V365" s="505"/>
      <c r="W365" s="505"/>
    </row>
    <row r="366" spans="1:23" ht="9.9499999999999993" customHeight="1">
      <c r="A366" s="505"/>
      <c r="B366" s="505"/>
      <c r="C366" s="505"/>
      <c r="D366" s="505"/>
      <c r="E366" s="505"/>
      <c r="F366" s="505"/>
      <c r="G366" s="505"/>
      <c r="H366" s="505"/>
      <c r="I366" s="505"/>
      <c r="J366" s="505"/>
      <c r="K366" s="505"/>
      <c r="L366" s="505"/>
      <c r="M366" s="505"/>
      <c r="N366" s="505"/>
      <c r="O366" s="505"/>
      <c r="P366" s="505"/>
      <c r="Q366" s="505"/>
      <c r="R366" s="505"/>
      <c r="S366" s="505"/>
      <c r="T366" s="505"/>
      <c r="U366" s="505"/>
      <c r="V366" s="505"/>
      <c r="W366" s="505"/>
    </row>
    <row r="367" spans="1:23" ht="9.9499999999999993" customHeight="1">
      <c r="A367" s="505"/>
      <c r="B367" s="505"/>
      <c r="C367" s="505"/>
      <c r="D367" s="505"/>
      <c r="E367" s="505"/>
      <c r="F367" s="505"/>
      <c r="G367" s="505"/>
      <c r="H367" s="505"/>
      <c r="I367" s="505"/>
      <c r="J367" s="505"/>
      <c r="K367" s="505"/>
      <c r="L367" s="505"/>
      <c r="M367" s="505"/>
      <c r="N367" s="505"/>
      <c r="O367" s="505"/>
      <c r="P367" s="505"/>
      <c r="Q367" s="505"/>
      <c r="R367" s="505"/>
      <c r="S367" s="505"/>
      <c r="T367" s="505"/>
      <c r="U367" s="505"/>
      <c r="V367" s="505"/>
      <c r="W367" s="505"/>
    </row>
    <row r="368" spans="1:23" ht="9.9499999999999993" customHeight="1">
      <c r="A368" s="505"/>
      <c r="B368" s="505"/>
      <c r="C368" s="505"/>
      <c r="D368" s="505"/>
      <c r="E368" s="505"/>
      <c r="F368" s="505"/>
      <c r="G368" s="505"/>
      <c r="H368" s="505"/>
      <c r="I368" s="505"/>
      <c r="J368" s="505"/>
      <c r="K368" s="505"/>
      <c r="L368" s="505"/>
      <c r="M368" s="505"/>
      <c r="N368" s="505"/>
      <c r="O368" s="505"/>
      <c r="P368" s="505"/>
      <c r="Q368" s="505"/>
      <c r="R368" s="505"/>
      <c r="S368" s="505"/>
      <c r="T368" s="505"/>
      <c r="U368" s="505"/>
      <c r="V368" s="505"/>
      <c r="W368" s="505"/>
    </row>
    <row r="369" spans="1:23" ht="9.9499999999999993" customHeight="1">
      <c r="A369" s="505"/>
      <c r="B369" s="505"/>
      <c r="C369" s="505"/>
      <c r="D369" s="505"/>
      <c r="E369" s="505"/>
      <c r="F369" s="505"/>
      <c r="G369" s="505"/>
      <c r="H369" s="505"/>
      <c r="I369" s="505"/>
      <c r="J369" s="505"/>
      <c r="K369" s="505"/>
      <c r="L369" s="505"/>
      <c r="M369" s="505"/>
      <c r="N369" s="505"/>
      <c r="O369" s="505"/>
      <c r="P369" s="505"/>
      <c r="Q369" s="505"/>
      <c r="R369" s="505"/>
      <c r="S369" s="505"/>
      <c r="T369" s="505"/>
      <c r="U369" s="505"/>
      <c r="V369" s="505"/>
      <c r="W369" s="505"/>
    </row>
    <row r="370" spans="1:23" ht="9.9499999999999993" customHeight="1">
      <c r="A370" s="505"/>
      <c r="B370" s="505"/>
      <c r="C370" s="505"/>
      <c r="D370" s="505"/>
      <c r="E370" s="505"/>
      <c r="F370" s="505"/>
      <c r="G370" s="505"/>
      <c r="H370" s="505"/>
      <c r="I370" s="505"/>
      <c r="J370" s="505"/>
      <c r="K370" s="505"/>
      <c r="L370" s="505"/>
      <c r="M370" s="505"/>
      <c r="N370" s="505"/>
      <c r="O370" s="505"/>
      <c r="P370" s="505"/>
      <c r="Q370" s="505"/>
      <c r="R370" s="505"/>
      <c r="S370" s="505"/>
      <c r="T370" s="505"/>
      <c r="U370" s="505"/>
      <c r="V370" s="505"/>
      <c r="W370" s="505"/>
    </row>
    <row r="371" spans="1:23" ht="9.9499999999999993" customHeight="1">
      <c r="A371" s="505"/>
      <c r="B371" s="505"/>
      <c r="C371" s="505"/>
      <c r="D371" s="505"/>
      <c r="E371" s="505"/>
      <c r="F371" s="505"/>
      <c r="G371" s="505"/>
      <c r="H371" s="505"/>
      <c r="I371" s="505"/>
      <c r="J371" s="505"/>
      <c r="K371" s="505"/>
      <c r="L371" s="505"/>
      <c r="M371" s="505"/>
      <c r="N371" s="505"/>
      <c r="O371" s="505"/>
      <c r="P371" s="505"/>
      <c r="Q371" s="505"/>
      <c r="R371" s="505"/>
      <c r="S371" s="505"/>
      <c r="T371" s="505"/>
      <c r="U371" s="505"/>
      <c r="V371" s="505"/>
      <c r="W371" s="505"/>
    </row>
    <row r="372" spans="1:23" ht="9.9499999999999993" customHeight="1">
      <c r="A372" s="505"/>
      <c r="B372" s="505"/>
      <c r="C372" s="505"/>
      <c r="D372" s="505"/>
      <c r="E372" s="505"/>
      <c r="F372" s="505"/>
      <c r="G372" s="505"/>
      <c r="H372" s="505"/>
      <c r="I372" s="505"/>
      <c r="J372" s="505"/>
      <c r="K372" s="505"/>
      <c r="L372" s="505"/>
      <c r="M372" s="505"/>
      <c r="N372" s="505"/>
      <c r="O372" s="505"/>
      <c r="P372" s="505"/>
      <c r="Q372" s="505"/>
      <c r="R372" s="505"/>
      <c r="S372" s="505"/>
      <c r="T372" s="505"/>
      <c r="U372" s="505"/>
      <c r="V372" s="505"/>
      <c r="W372" s="505"/>
    </row>
    <row r="373" spans="1:23" ht="9.9499999999999993" customHeight="1">
      <c r="A373" s="505"/>
      <c r="B373" s="505"/>
      <c r="C373" s="505"/>
      <c r="D373" s="505"/>
      <c r="E373" s="505"/>
      <c r="F373" s="505"/>
      <c r="G373" s="505"/>
      <c r="H373" s="505"/>
      <c r="I373" s="505"/>
      <c r="J373" s="505"/>
      <c r="K373" s="505"/>
      <c r="L373" s="505"/>
      <c r="M373" s="505"/>
      <c r="N373" s="505"/>
      <c r="O373" s="505"/>
      <c r="P373" s="505"/>
      <c r="Q373" s="505"/>
      <c r="R373" s="505"/>
      <c r="S373" s="505"/>
      <c r="T373" s="505"/>
      <c r="U373" s="505"/>
      <c r="V373" s="505"/>
      <c r="W373" s="505"/>
    </row>
    <row r="374" spans="1:23" ht="9.9499999999999993" customHeight="1">
      <c r="A374" s="505"/>
      <c r="B374" s="505"/>
      <c r="C374" s="505"/>
      <c r="D374" s="505"/>
      <c r="E374" s="505"/>
      <c r="F374" s="505"/>
      <c r="G374" s="505"/>
      <c r="H374" s="505"/>
      <c r="I374" s="505"/>
      <c r="J374" s="505"/>
      <c r="K374" s="505"/>
      <c r="L374" s="505"/>
      <c r="M374" s="505"/>
      <c r="N374" s="505"/>
      <c r="O374" s="505"/>
      <c r="P374" s="505"/>
      <c r="Q374" s="505"/>
      <c r="R374" s="505"/>
      <c r="S374" s="505"/>
      <c r="T374" s="505"/>
      <c r="U374" s="505"/>
      <c r="V374" s="505"/>
      <c r="W374" s="505"/>
    </row>
    <row r="375" spans="1:23" ht="9.9499999999999993" customHeight="1">
      <c r="A375" s="505"/>
      <c r="B375" s="505"/>
      <c r="C375" s="505"/>
      <c r="D375" s="505"/>
      <c r="E375" s="505"/>
      <c r="F375" s="505"/>
      <c r="G375" s="505"/>
      <c r="H375" s="505"/>
      <c r="I375" s="505"/>
      <c r="J375" s="505"/>
      <c r="K375" s="505"/>
      <c r="L375" s="505"/>
      <c r="M375" s="505"/>
      <c r="N375" s="505"/>
      <c r="O375" s="505"/>
      <c r="P375" s="505"/>
      <c r="Q375" s="505"/>
      <c r="R375" s="505"/>
      <c r="S375" s="505"/>
      <c r="T375" s="505"/>
      <c r="U375" s="505"/>
      <c r="V375" s="505"/>
      <c r="W375" s="505"/>
    </row>
    <row r="376" spans="1:23" ht="9.9499999999999993" customHeight="1">
      <c r="A376" s="505"/>
      <c r="B376" s="505"/>
      <c r="C376" s="505"/>
      <c r="D376" s="505"/>
      <c r="E376" s="505"/>
      <c r="F376" s="505"/>
      <c r="G376" s="505"/>
      <c r="H376" s="505"/>
      <c r="I376" s="505"/>
      <c r="J376" s="505"/>
      <c r="K376" s="505"/>
      <c r="L376" s="505"/>
      <c r="M376" s="505"/>
      <c r="N376" s="505"/>
      <c r="O376" s="505"/>
      <c r="P376" s="505"/>
      <c r="Q376" s="505"/>
      <c r="R376" s="505"/>
      <c r="S376" s="505"/>
      <c r="T376" s="505"/>
      <c r="U376" s="505"/>
      <c r="V376" s="505"/>
      <c r="W376" s="505"/>
    </row>
    <row r="377" spans="1:23" ht="9.9499999999999993" customHeight="1">
      <c r="A377" s="505"/>
      <c r="B377" s="505"/>
      <c r="C377" s="505"/>
      <c r="D377" s="505"/>
      <c r="E377" s="505"/>
      <c r="F377" s="505"/>
      <c r="G377" s="505"/>
      <c r="H377" s="505"/>
      <c r="I377" s="505"/>
      <c r="J377" s="505"/>
      <c r="K377" s="505"/>
      <c r="L377" s="505"/>
      <c r="M377" s="505"/>
      <c r="N377" s="505"/>
      <c r="O377" s="505"/>
      <c r="P377" s="505"/>
      <c r="Q377" s="505"/>
      <c r="R377" s="505"/>
      <c r="S377" s="505"/>
      <c r="T377" s="505"/>
      <c r="U377" s="505"/>
      <c r="V377" s="505"/>
      <c r="W377" s="505"/>
    </row>
    <row r="378" spans="1:23" ht="9.9499999999999993" customHeight="1">
      <c r="A378" s="505"/>
      <c r="B378" s="505"/>
      <c r="C378" s="505"/>
      <c r="D378" s="505"/>
      <c r="E378" s="505"/>
      <c r="F378" s="505"/>
      <c r="G378" s="505"/>
      <c r="H378" s="505"/>
      <c r="I378" s="505"/>
      <c r="J378" s="505"/>
      <c r="K378" s="505"/>
      <c r="L378" s="505"/>
      <c r="M378" s="505"/>
      <c r="N378" s="505"/>
      <c r="O378" s="505"/>
      <c r="P378" s="505"/>
      <c r="Q378" s="505"/>
      <c r="R378" s="505"/>
      <c r="S378" s="505"/>
      <c r="T378" s="505"/>
      <c r="U378" s="505"/>
      <c r="V378" s="505"/>
      <c r="W378" s="505"/>
    </row>
    <row r="379" spans="1:23" ht="9.9499999999999993" customHeight="1">
      <c r="A379" s="505"/>
      <c r="B379" s="505"/>
      <c r="C379" s="505"/>
      <c r="D379" s="505"/>
      <c r="E379" s="505"/>
      <c r="F379" s="505"/>
      <c r="G379" s="505"/>
      <c r="H379" s="505"/>
      <c r="I379" s="505"/>
      <c r="J379" s="505"/>
      <c r="K379" s="505"/>
      <c r="L379" s="505"/>
      <c r="M379" s="505"/>
      <c r="N379" s="505"/>
      <c r="O379" s="505"/>
      <c r="P379" s="505"/>
      <c r="Q379" s="505"/>
      <c r="R379" s="505"/>
      <c r="S379" s="505"/>
      <c r="T379" s="505"/>
      <c r="U379" s="505"/>
      <c r="V379" s="505"/>
      <c r="W379" s="505"/>
    </row>
    <row r="380" spans="1:23" ht="9.9499999999999993" customHeight="1">
      <c r="A380" s="505"/>
      <c r="B380" s="505"/>
      <c r="C380" s="505"/>
      <c r="D380" s="505"/>
      <c r="E380" s="505"/>
      <c r="F380" s="505"/>
      <c r="G380" s="505"/>
      <c r="H380" s="505"/>
      <c r="I380" s="505"/>
      <c r="J380" s="505"/>
      <c r="K380" s="505"/>
      <c r="L380" s="505"/>
      <c r="M380" s="505"/>
      <c r="N380" s="505"/>
      <c r="O380" s="505"/>
      <c r="P380" s="505"/>
      <c r="Q380" s="505"/>
      <c r="R380" s="505"/>
      <c r="S380" s="505"/>
      <c r="T380" s="505"/>
      <c r="U380" s="505"/>
      <c r="V380" s="505"/>
      <c r="W380" s="505"/>
    </row>
    <row r="381" spans="1:23" ht="9.9499999999999993" customHeight="1">
      <c r="A381" s="505"/>
      <c r="B381" s="505"/>
      <c r="C381" s="505"/>
      <c r="D381" s="505"/>
      <c r="E381" s="505"/>
      <c r="F381" s="505"/>
      <c r="G381" s="505"/>
      <c r="H381" s="505"/>
      <c r="I381" s="505"/>
      <c r="J381" s="505"/>
      <c r="K381" s="505"/>
      <c r="L381" s="505"/>
      <c r="M381" s="505"/>
      <c r="N381" s="505"/>
      <c r="O381" s="505"/>
      <c r="P381" s="505"/>
      <c r="Q381" s="505"/>
      <c r="R381" s="505"/>
      <c r="S381" s="505"/>
      <c r="T381" s="505"/>
      <c r="U381" s="505"/>
      <c r="V381" s="505"/>
      <c r="W381" s="505"/>
    </row>
    <row r="382" spans="1:23" ht="9.9499999999999993" customHeight="1">
      <c r="A382" s="505"/>
      <c r="B382" s="505"/>
      <c r="C382" s="505"/>
      <c r="D382" s="505"/>
      <c r="E382" s="505"/>
      <c r="F382" s="505"/>
      <c r="G382" s="505"/>
      <c r="H382" s="505"/>
      <c r="I382" s="505"/>
      <c r="J382" s="505"/>
      <c r="K382" s="505"/>
      <c r="L382" s="505"/>
      <c r="M382" s="505"/>
      <c r="N382" s="505"/>
      <c r="O382" s="505"/>
      <c r="P382" s="505"/>
      <c r="Q382" s="505"/>
      <c r="R382" s="505"/>
      <c r="S382" s="505"/>
      <c r="T382" s="505"/>
      <c r="U382" s="505"/>
      <c r="V382" s="505"/>
      <c r="W382" s="505"/>
    </row>
    <row r="383" spans="1:23" ht="9.9499999999999993" customHeight="1">
      <c r="A383" s="505"/>
      <c r="B383" s="505"/>
      <c r="C383" s="505"/>
      <c r="D383" s="505"/>
      <c r="E383" s="505"/>
      <c r="F383" s="505"/>
      <c r="G383" s="505"/>
      <c r="H383" s="505"/>
      <c r="I383" s="505"/>
      <c r="J383" s="505"/>
      <c r="K383" s="505"/>
      <c r="L383" s="505"/>
      <c r="M383" s="505"/>
      <c r="N383" s="505"/>
      <c r="O383" s="505"/>
      <c r="P383" s="505"/>
      <c r="Q383" s="505"/>
      <c r="R383" s="505"/>
      <c r="S383" s="505"/>
      <c r="T383" s="505"/>
      <c r="U383" s="505"/>
      <c r="V383" s="505"/>
      <c r="W383" s="505"/>
    </row>
    <row r="384" spans="1:23" ht="9.9499999999999993" customHeight="1">
      <c r="A384" s="505"/>
      <c r="B384" s="505"/>
      <c r="C384" s="505"/>
      <c r="D384" s="505"/>
      <c r="E384" s="505"/>
      <c r="F384" s="505"/>
      <c r="G384" s="505"/>
      <c r="H384" s="505"/>
      <c r="I384" s="505"/>
      <c r="J384" s="505"/>
      <c r="K384" s="505"/>
      <c r="L384" s="505"/>
      <c r="M384" s="505"/>
      <c r="N384" s="505"/>
      <c r="O384" s="505"/>
      <c r="P384" s="505"/>
      <c r="Q384" s="505"/>
      <c r="R384" s="505"/>
      <c r="S384" s="505"/>
      <c r="T384" s="505"/>
      <c r="U384" s="505"/>
      <c r="V384" s="505"/>
      <c r="W384" s="505"/>
    </row>
    <row r="385" spans="1:23" ht="9.9499999999999993" customHeight="1">
      <c r="A385" s="505"/>
      <c r="B385" s="505"/>
      <c r="C385" s="505"/>
      <c r="D385" s="505"/>
      <c r="E385" s="505"/>
      <c r="F385" s="505"/>
      <c r="G385" s="505"/>
      <c r="H385" s="505"/>
      <c r="I385" s="505"/>
      <c r="J385" s="505"/>
      <c r="K385" s="505"/>
      <c r="L385" s="505"/>
      <c r="M385" s="505"/>
      <c r="N385" s="505"/>
      <c r="O385" s="505"/>
      <c r="P385" s="505"/>
      <c r="Q385" s="505"/>
      <c r="R385" s="505"/>
      <c r="S385" s="505"/>
      <c r="T385" s="505"/>
      <c r="U385" s="505"/>
      <c r="V385" s="505"/>
      <c r="W385" s="505"/>
    </row>
    <row r="386" spans="1:23" ht="9.9499999999999993" customHeight="1">
      <c r="A386" s="505"/>
      <c r="B386" s="505"/>
      <c r="C386" s="505"/>
      <c r="D386" s="505"/>
      <c r="E386" s="505"/>
      <c r="F386" s="505"/>
      <c r="G386" s="505"/>
      <c r="H386" s="505"/>
      <c r="I386" s="505"/>
      <c r="J386" s="505"/>
      <c r="K386" s="505"/>
      <c r="L386" s="505"/>
      <c r="M386" s="505"/>
      <c r="N386" s="505"/>
      <c r="O386" s="505"/>
      <c r="P386" s="505"/>
      <c r="Q386" s="505"/>
      <c r="R386" s="505"/>
      <c r="S386" s="505"/>
      <c r="T386" s="505"/>
      <c r="U386" s="505"/>
      <c r="V386" s="505"/>
      <c r="W386" s="505"/>
    </row>
    <row r="387" spans="1:23" ht="9.9499999999999993" customHeight="1">
      <c r="A387" s="505"/>
      <c r="B387" s="505"/>
      <c r="C387" s="505"/>
      <c r="D387" s="505"/>
      <c r="E387" s="505"/>
      <c r="F387" s="505"/>
      <c r="G387" s="505"/>
      <c r="H387" s="505"/>
      <c r="I387" s="505"/>
      <c r="J387" s="505"/>
      <c r="K387" s="505"/>
      <c r="L387" s="505"/>
      <c r="M387" s="505"/>
      <c r="N387" s="505"/>
      <c r="O387" s="505"/>
      <c r="P387" s="505"/>
      <c r="Q387" s="505"/>
      <c r="R387" s="505"/>
      <c r="S387" s="505"/>
      <c r="T387" s="505"/>
      <c r="U387" s="505"/>
      <c r="V387" s="505"/>
      <c r="W387" s="505"/>
    </row>
    <row r="388" spans="1:23" ht="9.9499999999999993" customHeight="1">
      <c r="A388" s="505"/>
      <c r="B388" s="505"/>
      <c r="C388" s="505"/>
      <c r="D388" s="505"/>
      <c r="E388" s="505"/>
      <c r="F388" s="505"/>
      <c r="G388" s="505"/>
      <c r="H388" s="505"/>
      <c r="I388" s="505"/>
      <c r="J388" s="505"/>
      <c r="K388" s="505"/>
      <c r="L388" s="505"/>
      <c r="M388" s="505"/>
      <c r="N388" s="505"/>
      <c r="O388" s="505"/>
      <c r="P388" s="505"/>
      <c r="Q388" s="505"/>
      <c r="R388" s="505"/>
      <c r="S388" s="505"/>
      <c r="T388" s="505"/>
      <c r="U388" s="505"/>
      <c r="V388" s="505"/>
      <c r="W388" s="505"/>
    </row>
    <row r="389" spans="1:23" ht="9.9499999999999993" customHeight="1">
      <c r="A389" s="505"/>
      <c r="B389" s="505"/>
      <c r="C389" s="505"/>
      <c r="D389" s="505"/>
      <c r="E389" s="505"/>
      <c r="F389" s="505"/>
      <c r="G389" s="505"/>
      <c r="H389" s="505"/>
      <c r="I389" s="505"/>
      <c r="J389" s="505"/>
      <c r="K389" s="505"/>
      <c r="L389" s="505"/>
      <c r="M389" s="505"/>
      <c r="N389" s="505"/>
      <c r="O389" s="505"/>
      <c r="P389" s="505"/>
      <c r="Q389" s="505"/>
      <c r="R389" s="505"/>
      <c r="S389" s="505"/>
      <c r="T389" s="505"/>
      <c r="U389" s="505"/>
      <c r="V389" s="505"/>
      <c r="W389" s="505"/>
    </row>
    <row r="390" spans="1:23" ht="9.9499999999999993" customHeight="1">
      <c r="A390" s="505"/>
      <c r="B390" s="505"/>
      <c r="C390" s="505"/>
      <c r="D390" s="505"/>
      <c r="E390" s="505"/>
      <c r="F390" s="505"/>
      <c r="G390" s="505"/>
      <c r="H390" s="505"/>
      <c r="I390" s="505"/>
      <c r="J390" s="505"/>
      <c r="K390" s="505"/>
      <c r="L390" s="505"/>
      <c r="M390" s="505"/>
      <c r="N390" s="505"/>
      <c r="O390" s="505"/>
      <c r="P390" s="505"/>
      <c r="Q390" s="505"/>
      <c r="R390" s="505"/>
      <c r="S390" s="505"/>
      <c r="T390" s="505"/>
      <c r="U390" s="505"/>
      <c r="V390" s="505"/>
      <c r="W390" s="505"/>
    </row>
    <row r="391" spans="1:23" ht="9.9499999999999993" customHeight="1">
      <c r="A391" s="505"/>
      <c r="B391" s="505"/>
      <c r="C391" s="505"/>
      <c r="D391" s="505"/>
      <c r="E391" s="505"/>
      <c r="F391" s="505"/>
      <c r="G391" s="505"/>
      <c r="H391" s="505"/>
      <c r="I391" s="505"/>
      <c r="J391" s="505"/>
      <c r="K391" s="505"/>
      <c r="L391" s="505"/>
      <c r="M391" s="505"/>
      <c r="N391" s="505"/>
      <c r="O391" s="505"/>
      <c r="P391" s="505"/>
      <c r="Q391" s="505"/>
      <c r="R391" s="505"/>
      <c r="S391" s="505"/>
      <c r="T391" s="505"/>
      <c r="U391" s="505"/>
      <c r="V391" s="505"/>
      <c r="W391" s="505"/>
    </row>
    <row r="392" spans="1:23" ht="9.9499999999999993" customHeight="1">
      <c r="A392" s="505"/>
      <c r="B392" s="505"/>
      <c r="C392" s="505"/>
      <c r="D392" s="505"/>
      <c r="E392" s="505"/>
      <c r="F392" s="505"/>
      <c r="G392" s="505"/>
      <c r="H392" s="505"/>
      <c r="I392" s="505"/>
      <c r="J392" s="505"/>
      <c r="K392" s="505"/>
      <c r="L392" s="505"/>
      <c r="M392" s="505"/>
      <c r="N392" s="505"/>
      <c r="O392" s="505"/>
      <c r="P392" s="505"/>
      <c r="Q392" s="505"/>
      <c r="R392" s="505"/>
      <c r="S392" s="505"/>
      <c r="T392" s="505"/>
      <c r="U392" s="505"/>
      <c r="V392" s="505"/>
      <c r="W392" s="505"/>
    </row>
    <row r="393" spans="1:23" ht="9.9499999999999993" customHeight="1">
      <c r="A393" s="505"/>
      <c r="B393" s="505"/>
      <c r="C393" s="505"/>
      <c r="D393" s="505"/>
      <c r="E393" s="505"/>
      <c r="F393" s="505"/>
      <c r="G393" s="505"/>
      <c r="H393" s="505"/>
      <c r="I393" s="505"/>
      <c r="J393" s="505"/>
      <c r="K393" s="505"/>
      <c r="L393" s="505"/>
      <c r="M393" s="505"/>
      <c r="N393" s="505"/>
      <c r="O393" s="505"/>
      <c r="P393" s="505"/>
      <c r="Q393" s="505"/>
      <c r="R393" s="505"/>
      <c r="S393" s="505"/>
      <c r="T393" s="505"/>
      <c r="U393" s="505"/>
      <c r="V393" s="505"/>
      <c r="W393" s="505"/>
    </row>
    <row r="394" spans="1:23" ht="9.9499999999999993" customHeight="1">
      <c r="A394" s="505"/>
      <c r="B394" s="505"/>
      <c r="C394" s="505"/>
      <c r="D394" s="505"/>
      <c r="E394" s="505"/>
      <c r="F394" s="505"/>
      <c r="G394" s="505"/>
      <c r="H394" s="505"/>
      <c r="I394" s="505"/>
      <c r="J394" s="505"/>
      <c r="K394" s="505"/>
      <c r="L394" s="505"/>
      <c r="M394" s="505"/>
      <c r="N394" s="505"/>
      <c r="O394" s="505"/>
      <c r="P394" s="505"/>
      <c r="Q394" s="505"/>
      <c r="R394" s="505"/>
      <c r="S394" s="505"/>
      <c r="T394" s="505"/>
      <c r="U394" s="505"/>
      <c r="V394" s="505"/>
      <c r="W394" s="505"/>
    </row>
    <row r="395" spans="1:23" ht="9.9499999999999993" customHeight="1">
      <c r="A395" s="505"/>
      <c r="B395" s="505"/>
      <c r="C395" s="505"/>
      <c r="D395" s="505"/>
      <c r="E395" s="505"/>
      <c r="F395" s="505"/>
      <c r="G395" s="505"/>
      <c r="H395" s="505"/>
      <c r="I395" s="505"/>
      <c r="J395" s="505"/>
      <c r="K395" s="505"/>
      <c r="L395" s="505"/>
      <c r="M395" s="505"/>
      <c r="N395" s="505"/>
      <c r="O395" s="505"/>
      <c r="P395" s="505"/>
      <c r="Q395" s="505"/>
      <c r="R395" s="505"/>
      <c r="S395" s="505"/>
      <c r="T395" s="505"/>
      <c r="U395" s="505"/>
      <c r="V395" s="505"/>
      <c r="W395" s="505"/>
    </row>
    <row r="396" spans="1:23" ht="9.9499999999999993" customHeight="1">
      <c r="A396" s="505"/>
      <c r="B396" s="505"/>
      <c r="C396" s="505"/>
      <c r="D396" s="505"/>
      <c r="E396" s="505"/>
      <c r="F396" s="505"/>
      <c r="G396" s="505"/>
      <c r="H396" s="505"/>
      <c r="I396" s="505"/>
      <c r="J396" s="505"/>
      <c r="K396" s="505"/>
      <c r="L396" s="505"/>
      <c r="M396" s="505"/>
      <c r="N396" s="505"/>
      <c r="O396" s="505"/>
      <c r="P396" s="505"/>
      <c r="Q396" s="505"/>
      <c r="R396" s="505"/>
      <c r="S396" s="505"/>
      <c r="T396" s="505"/>
      <c r="U396" s="505"/>
      <c r="V396" s="505"/>
      <c r="W396" s="505"/>
    </row>
    <row r="397" spans="1:23" ht="9.9499999999999993" customHeight="1">
      <c r="A397" s="505"/>
      <c r="B397" s="505"/>
      <c r="C397" s="505"/>
      <c r="D397" s="505"/>
      <c r="E397" s="505"/>
      <c r="F397" s="505"/>
      <c r="G397" s="505"/>
      <c r="H397" s="505"/>
      <c r="I397" s="505"/>
      <c r="J397" s="505"/>
      <c r="K397" s="505"/>
      <c r="L397" s="505"/>
      <c r="M397" s="505"/>
      <c r="N397" s="505"/>
      <c r="O397" s="505"/>
      <c r="P397" s="505"/>
      <c r="Q397" s="505"/>
      <c r="R397" s="505"/>
      <c r="S397" s="505"/>
      <c r="T397" s="505"/>
      <c r="U397" s="505"/>
      <c r="V397" s="505"/>
      <c r="W397" s="505"/>
    </row>
    <row r="398" spans="1:23" ht="9.9499999999999993" customHeight="1">
      <c r="A398" s="505"/>
      <c r="B398" s="505"/>
      <c r="C398" s="505"/>
      <c r="D398" s="505"/>
      <c r="E398" s="505"/>
      <c r="F398" s="505"/>
      <c r="G398" s="505"/>
      <c r="H398" s="505"/>
      <c r="I398" s="505"/>
      <c r="J398" s="505"/>
      <c r="K398" s="505"/>
      <c r="L398" s="505"/>
      <c r="M398" s="505"/>
      <c r="N398" s="505"/>
      <c r="O398" s="505"/>
      <c r="P398" s="505"/>
      <c r="Q398" s="505"/>
      <c r="R398" s="505"/>
      <c r="S398" s="505"/>
      <c r="T398" s="505"/>
      <c r="U398" s="505"/>
      <c r="V398" s="505"/>
      <c r="W398" s="505"/>
    </row>
    <row r="399" spans="1:23" ht="9.9499999999999993" customHeight="1">
      <c r="A399" s="505"/>
      <c r="B399" s="505"/>
      <c r="C399" s="505"/>
      <c r="D399" s="505"/>
      <c r="E399" s="505"/>
      <c r="F399" s="505"/>
      <c r="G399" s="505"/>
      <c r="H399" s="505"/>
      <c r="I399" s="505"/>
      <c r="J399" s="505"/>
      <c r="K399" s="505"/>
      <c r="L399" s="505"/>
      <c r="M399" s="505"/>
      <c r="N399" s="505"/>
      <c r="O399" s="505"/>
      <c r="P399" s="505"/>
      <c r="Q399" s="505"/>
      <c r="R399" s="505"/>
      <c r="S399" s="505"/>
      <c r="T399" s="505"/>
      <c r="U399" s="505"/>
      <c r="V399" s="505"/>
      <c r="W399" s="505"/>
    </row>
    <row r="400" spans="1:23" ht="9.9499999999999993" customHeight="1">
      <c r="A400" s="505"/>
      <c r="B400" s="505"/>
      <c r="C400" s="505"/>
      <c r="D400" s="505"/>
      <c r="E400" s="505"/>
      <c r="F400" s="505"/>
      <c r="G400" s="505"/>
      <c r="H400" s="505"/>
      <c r="I400" s="505"/>
      <c r="J400" s="505"/>
      <c r="K400" s="505"/>
      <c r="L400" s="505"/>
      <c r="M400" s="505"/>
      <c r="N400" s="505"/>
      <c r="O400" s="505"/>
      <c r="P400" s="505"/>
      <c r="Q400" s="505"/>
      <c r="R400" s="505"/>
      <c r="S400" s="505"/>
      <c r="T400" s="505"/>
      <c r="U400" s="505"/>
      <c r="V400" s="505"/>
      <c r="W400" s="505"/>
    </row>
    <row r="401" spans="1:23" ht="9.9499999999999993" customHeight="1">
      <c r="A401" s="505"/>
      <c r="B401" s="505"/>
      <c r="C401" s="505"/>
      <c r="D401" s="505"/>
      <c r="E401" s="505"/>
      <c r="F401" s="505"/>
      <c r="G401" s="505"/>
      <c r="H401" s="505"/>
      <c r="I401" s="505"/>
      <c r="J401" s="505"/>
      <c r="K401" s="505"/>
      <c r="L401" s="505"/>
      <c r="M401" s="505"/>
      <c r="N401" s="505"/>
      <c r="O401" s="505"/>
      <c r="P401" s="505"/>
      <c r="Q401" s="505"/>
      <c r="R401" s="505"/>
      <c r="S401" s="505"/>
      <c r="T401" s="505"/>
      <c r="U401" s="505"/>
      <c r="V401" s="505"/>
      <c r="W401" s="505"/>
    </row>
    <row r="402" spans="1:23" ht="9.9499999999999993" customHeight="1">
      <c r="A402" s="505"/>
      <c r="B402" s="505"/>
      <c r="C402" s="505"/>
      <c r="D402" s="505"/>
      <c r="E402" s="505"/>
      <c r="F402" s="505"/>
      <c r="G402" s="505"/>
      <c r="H402" s="505"/>
      <c r="I402" s="505"/>
      <c r="J402" s="505"/>
      <c r="K402" s="505"/>
      <c r="L402" s="505"/>
      <c r="M402" s="505"/>
      <c r="N402" s="505"/>
      <c r="O402" s="505"/>
      <c r="P402" s="505"/>
      <c r="Q402" s="505"/>
      <c r="R402" s="505"/>
      <c r="S402" s="505"/>
      <c r="T402" s="505"/>
      <c r="U402" s="505"/>
      <c r="V402" s="505"/>
      <c r="W402" s="505"/>
    </row>
    <row r="403" spans="1:23" ht="9.9499999999999993" customHeight="1">
      <c r="A403" s="505"/>
      <c r="B403" s="505"/>
      <c r="C403" s="505"/>
      <c r="D403" s="505"/>
      <c r="E403" s="505"/>
      <c r="F403" s="505"/>
      <c r="G403" s="505"/>
      <c r="H403" s="505"/>
      <c r="I403" s="505"/>
      <c r="J403" s="505"/>
      <c r="K403" s="505"/>
      <c r="L403" s="505"/>
      <c r="M403" s="505"/>
      <c r="N403" s="505"/>
      <c r="O403" s="505"/>
      <c r="P403" s="505"/>
      <c r="Q403" s="505"/>
      <c r="R403" s="505"/>
      <c r="S403" s="505"/>
      <c r="T403" s="505"/>
      <c r="U403" s="505"/>
      <c r="V403" s="505"/>
      <c r="W403" s="505"/>
    </row>
    <row r="404" spans="1:23" ht="9.9499999999999993" customHeight="1">
      <c r="A404" s="505"/>
      <c r="B404" s="505"/>
      <c r="C404" s="505"/>
      <c r="D404" s="505"/>
      <c r="E404" s="505"/>
      <c r="F404" s="505"/>
      <c r="G404" s="505"/>
      <c r="H404" s="505"/>
      <c r="I404" s="505"/>
      <c r="J404" s="505"/>
      <c r="K404" s="505"/>
      <c r="L404" s="505"/>
      <c r="M404" s="505"/>
      <c r="N404" s="505"/>
      <c r="O404" s="505"/>
      <c r="P404" s="505"/>
      <c r="Q404" s="505"/>
      <c r="R404" s="505"/>
      <c r="S404" s="505"/>
      <c r="T404" s="505"/>
      <c r="U404" s="505"/>
      <c r="V404" s="505"/>
      <c r="W404" s="505"/>
    </row>
    <row r="405" spans="1:23" ht="9.9499999999999993" customHeight="1">
      <c r="A405" s="505"/>
      <c r="B405" s="505"/>
      <c r="C405" s="505"/>
      <c r="D405" s="505"/>
      <c r="E405" s="505"/>
      <c r="F405" s="505"/>
      <c r="G405" s="505"/>
      <c r="H405" s="505"/>
      <c r="I405" s="505"/>
      <c r="J405" s="505"/>
      <c r="K405" s="505"/>
      <c r="L405" s="505"/>
      <c r="M405" s="505"/>
      <c r="N405" s="505"/>
      <c r="O405" s="505"/>
      <c r="P405" s="505"/>
      <c r="Q405" s="505"/>
      <c r="R405" s="505"/>
      <c r="S405" s="505"/>
      <c r="T405" s="505"/>
      <c r="U405" s="505"/>
      <c r="V405" s="505"/>
      <c r="W405" s="505"/>
    </row>
    <row r="406" spans="1:23" ht="9.9499999999999993" customHeight="1">
      <c r="A406" s="505"/>
      <c r="B406" s="505"/>
      <c r="C406" s="505"/>
      <c r="D406" s="505"/>
      <c r="E406" s="505"/>
      <c r="F406" s="505"/>
      <c r="G406" s="505"/>
      <c r="H406" s="505"/>
      <c r="I406" s="505"/>
      <c r="J406" s="505"/>
      <c r="K406" s="505"/>
      <c r="L406" s="505"/>
      <c r="M406" s="505"/>
      <c r="N406" s="505"/>
      <c r="O406" s="505"/>
      <c r="P406" s="505"/>
      <c r="Q406" s="505"/>
      <c r="R406" s="505"/>
      <c r="S406" s="505"/>
      <c r="T406" s="505"/>
      <c r="U406" s="505"/>
      <c r="V406" s="505"/>
      <c r="W406" s="505"/>
    </row>
    <row r="407" spans="1:23" ht="9.9499999999999993" customHeight="1">
      <c r="A407" s="505"/>
      <c r="B407" s="505"/>
      <c r="C407" s="505"/>
      <c r="D407" s="505"/>
      <c r="E407" s="505"/>
      <c r="F407" s="505"/>
      <c r="G407" s="505"/>
      <c r="H407" s="505"/>
      <c r="I407" s="505"/>
      <c r="J407" s="505"/>
      <c r="K407" s="505"/>
      <c r="L407" s="505"/>
      <c r="M407" s="505"/>
      <c r="N407" s="505"/>
      <c r="O407" s="505"/>
      <c r="P407" s="505"/>
      <c r="Q407" s="505"/>
      <c r="R407" s="505"/>
      <c r="S407" s="505"/>
      <c r="T407" s="505"/>
      <c r="U407" s="505"/>
      <c r="V407" s="505"/>
      <c r="W407" s="505"/>
    </row>
    <row r="408" spans="1:23" ht="9.9499999999999993" customHeight="1">
      <c r="A408" s="505"/>
      <c r="B408" s="505"/>
      <c r="C408" s="505"/>
      <c r="D408" s="505"/>
      <c r="E408" s="505"/>
      <c r="F408" s="505"/>
      <c r="G408" s="505"/>
      <c r="H408" s="505"/>
      <c r="I408" s="505"/>
      <c r="J408" s="505"/>
      <c r="K408" s="505"/>
      <c r="L408" s="505"/>
      <c r="M408" s="505"/>
      <c r="N408" s="505"/>
      <c r="O408" s="505"/>
      <c r="P408" s="505"/>
      <c r="Q408" s="505"/>
      <c r="R408" s="505"/>
      <c r="S408" s="505"/>
      <c r="T408" s="505"/>
      <c r="U408" s="505"/>
      <c r="V408" s="505"/>
      <c r="W408" s="505"/>
    </row>
    <row r="409" spans="1:23" ht="9.9499999999999993" customHeight="1">
      <c r="A409" s="505"/>
      <c r="B409" s="505"/>
      <c r="C409" s="505"/>
      <c r="D409" s="505"/>
      <c r="E409" s="505"/>
      <c r="F409" s="505"/>
      <c r="G409" s="505"/>
      <c r="H409" s="505"/>
      <c r="I409" s="505"/>
      <c r="J409" s="505"/>
      <c r="K409" s="505"/>
      <c r="L409" s="505"/>
      <c r="M409" s="505"/>
      <c r="N409" s="505"/>
      <c r="O409" s="505"/>
      <c r="P409" s="505"/>
      <c r="Q409" s="505"/>
      <c r="R409" s="505"/>
      <c r="S409" s="505"/>
      <c r="T409" s="505"/>
      <c r="U409" s="505"/>
      <c r="V409" s="505"/>
      <c r="W409" s="505"/>
    </row>
    <row r="410" spans="1:23" ht="9.9499999999999993" customHeight="1">
      <c r="A410" s="505"/>
      <c r="B410" s="505"/>
      <c r="C410" s="505"/>
      <c r="D410" s="505"/>
      <c r="E410" s="505"/>
      <c r="F410" s="505"/>
      <c r="G410" s="505"/>
      <c r="H410" s="505"/>
      <c r="I410" s="505"/>
      <c r="J410" s="505"/>
      <c r="K410" s="505"/>
      <c r="L410" s="505"/>
      <c r="M410" s="505"/>
      <c r="N410" s="505"/>
      <c r="O410" s="505"/>
      <c r="P410" s="505"/>
      <c r="Q410" s="505"/>
      <c r="R410" s="505"/>
      <c r="S410" s="505"/>
      <c r="T410" s="505"/>
      <c r="U410" s="505"/>
      <c r="V410" s="505"/>
      <c r="W410" s="505"/>
    </row>
    <row r="411" spans="1:23" ht="9.9499999999999993" customHeight="1">
      <c r="A411" s="505"/>
      <c r="B411" s="505"/>
      <c r="C411" s="505"/>
      <c r="D411" s="505"/>
      <c r="E411" s="505"/>
      <c r="F411" s="505"/>
      <c r="G411" s="505"/>
      <c r="H411" s="505"/>
      <c r="I411" s="505"/>
      <c r="J411" s="505"/>
      <c r="K411" s="505"/>
      <c r="L411" s="505"/>
      <c r="M411" s="505"/>
      <c r="N411" s="505"/>
      <c r="O411" s="505"/>
      <c r="P411" s="505"/>
      <c r="Q411" s="505"/>
      <c r="R411" s="505"/>
      <c r="S411" s="505"/>
      <c r="T411" s="505"/>
      <c r="U411" s="505"/>
      <c r="V411" s="505"/>
      <c r="W411" s="505"/>
    </row>
    <row r="412" spans="1:23" ht="9.9499999999999993" customHeight="1">
      <c r="A412" s="505"/>
      <c r="B412" s="505"/>
      <c r="C412" s="505"/>
      <c r="D412" s="505"/>
      <c r="E412" s="505"/>
      <c r="F412" s="505"/>
      <c r="G412" s="505"/>
      <c r="H412" s="505"/>
      <c r="I412" s="505"/>
      <c r="J412" s="505"/>
      <c r="K412" s="505"/>
      <c r="L412" s="505"/>
      <c r="M412" s="505"/>
      <c r="N412" s="505"/>
      <c r="O412" s="505"/>
      <c r="P412" s="505"/>
      <c r="Q412" s="505"/>
      <c r="R412" s="505"/>
      <c r="S412" s="505"/>
      <c r="T412" s="505"/>
      <c r="U412" s="505"/>
      <c r="V412" s="505"/>
      <c r="W412" s="505"/>
    </row>
    <row r="413" spans="1:23" ht="9.9499999999999993" customHeight="1">
      <c r="A413" s="505"/>
      <c r="B413" s="505"/>
      <c r="C413" s="505"/>
      <c r="D413" s="505"/>
      <c r="E413" s="505"/>
      <c r="F413" s="505"/>
      <c r="G413" s="505"/>
      <c r="H413" s="505"/>
      <c r="I413" s="505"/>
      <c r="J413" s="505"/>
      <c r="K413" s="505"/>
      <c r="L413" s="505"/>
      <c r="M413" s="505"/>
      <c r="N413" s="505"/>
      <c r="O413" s="505"/>
      <c r="P413" s="505"/>
      <c r="Q413" s="505"/>
      <c r="R413" s="505"/>
      <c r="S413" s="505"/>
      <c r="T413" s="505"/>
      <c r="U413" s="505"/>
      <c r="V413" s="505"/>
      <c r="W413" s="505"/>
    </row>
    <row r="414" spans="1:23" ht="9.9499999999999993" customHeight="1">
      <c r="A414" s="505"/>
      <c r="B414" s="505"/>
      <c r="C414" s="505"/>
      <c r="D414" s="505"/>
      <c r="E414" s="505"/>
      <c r="F414" s="505"/>
      <c r="G414" s="505"/>
      <c r="H414" s="505"/>
      <c r="I414" s="505"/>
      <c r="J414" s="505"/>
      <c r="K414" s="505"/>
      <c r="L414" s="505"/>
      <c r="M414" s="505"/>
      <c r="N414" s="505"/>
      <c r="O414" s="505"/>
      <c r="P414" s="505"/>
      <c r="Q414" s="505"/>
      <c r="R414" s="505"/>
      <c r="S414" s="505"/>
      <c r="T414" s="505"/>
      <c r="U414" s="505"/>
      <c r="V414" s="505"/>
      <c r="W414" s="505"/>
    </row>
    <row r="415" spans="1:23" ht="9.9499999999999993" customHeight="1">
      <c r="A415" s="505"/>
      <c r="B415" s="505"/>
      <c r="C415" s="505"/>
      <c r="D415" s="505"/>
      <c r="E415" s="505"/>
      <c r="F415" s="505"/>
      <c r="G415" s="505"/>
      <c r="H415" s="505"/>
      <c r="I415" s="505"/>
      <c r="J415" s="505"/>
      <c r="K415" s="505"/>
      <c r="L415" s="505"/>
      <c r="M415" s="505"/>
      <c r="N415" s="505"/>
      <c r="O415" s="505"/>
      <c r="P415" s="505"/>
      <c r="Q415" s="505"/>
      <c r="R415" s="505"/>
      <c r="S415" s="505"/>
      <c r="T415" s="505"/>
      <c r="U415" s="505"/>
      <c r="V415" s="505"/>
      <c r="W415" s="505"/>
    </row>
    <row r="416" spans="1:23" ht="9.9499999999999993" customHeight="1">
      <c r="A416" s="505"/>
      <c r="B416" s="505"/>
      <c r="C416" s="505"/>
      <c r="D416" s="505"/>
      <c r="E416" s="505"/>
      <c r="F416" s="505"/>
      <c r="G416" s="505"/>
      <c r="H416" s="505"/>
      <c r="I416" s="505"/>
      <c r="J416" s="505"/>
      <c r="K416" s="505"/>
      <c r="L416" s="505"/>
      <c r="M416" s="505"/>
      <c r="N416" s="505"/>
      <c r="O416" s="505"/>
      <c r="P416" s="505"/>
      <c r="Q416" s="505"/>
      <c r="R416" s="505"/>
      <c r="S416" s="505"/>
      <c r="T416" s="505"/>
      <c r="U416" s="505"/>
      <c r="V416" s="505"/>
      <c r="W416" s="505"/>
    </row>
    <row r="417" spans="1:23" ht="9.9499999999999993" customHeight="1">
      <c r="A417" s="505"/>
      <c r="B417" s="505"/>
      <c r="C417" s="505"/>
      <c r="D417" s="505"/>
      <c r="E417" s="505"/>
      <c r="F417" s="505"/>
      <c r="G417" s="505"/>
      <c r="H417" s="505"/>
      <c r="I417" s="505"/>
      <c r="J417" s="505"/>
      <c r="K417" s="505"/>
      <c r="L417" s="505"/>
      <c r="M417" s="505"/>
      <c r="N417" s="505"/>
      <c r="O417" s="505"/>
      <c r="P417" s="505"/>
      <c r="Q417" s="505"/>
      <c r="R417" s="505"/>
      <c r="S417" s="505"/>
      <c r="T417" s="505"/>
      <c r="U417" s="505"/>
      <c r="V417" s="505"/>
      <c r="W417" s="505"/>
    </row>
    <row r="418" spans="1:23" ht="9.9499999999999993" customHeight="1">
      <c r="A418" s="505"/>
      <c r="B418" s="505"/>
      <c r="C418" s="505"/>
      <c r="D418" s="505"/>
      <c r="E418" s="505"/>
      <c r="F418" s="505"/>
      <c r="G418" s="505"/>
      <c r="H418" s="505"/>
      <c r="I418" s="505"/>
      <c r="J418" s="505"/>
      <c r="K418" s="505"/>
      <c r="L418" s="505"/>
      <c r="M418" s="505"/>
      <c r="N418" s="505"/>
      <c r="O418" s="505"/>
      <c r="P418" s="505"/>
      <c r="Q418" s="505"/>
      <c r="R418" s="505"/>
      <c r="S418" s="505"/>
      <c r="T418" s="505"/>
      <c r="U418" s="505"/>
      <c r="V418" s="505"/>
      <c r="W418" s="505"/>
    </row>
    <row r="419" spans="1:23" ht="9.9499999999999993" customHeight="1">
      <c r="A419" s="505"/>
      <c r="B419" s="505"/>
      <c r="C419" s="505"/>
      <c r="D419" s="505"/>
      <c r="E419" s="505"/>
      <c r="F419" s="505"/>
      <c r="G419" s="505"/>
      <c r="H419" s="505"/>
      <c r="I419" s="505"/>
      <c r="J419" s="505"/>
      <c r="K419" s="505"/>
      <c r="L419" s="505"/>
      <c r="M419" s="505"/>
      <c r="N419" s="505"/>
      <c r="O419" s="505"/>
      <c r="P419" s="505"/>
      <c r="Q419" s="505"/>
      <c r="R419" s="505"/>
      <c r="S419" s="505"/>
      <c r="T419" s="505"/>
      <c r="U419" s="505"/>
      <c r="V419" s="505"/>
      <c r="W419" s="505"/>
    </row>
    <row r="420" spans="1:23" ht="9.9499999999999993" customHeight="1">
      <c r="A420" s="505"/>
      <c r="B420" s="505"/>
      <c r="C420" s="505"/>
      <c r="D420" s="505"/>
      <c r="E420" s="505"/>
      <c r="F420" s="505"/>
      <c r="G420" s="505"/>
      <c r="H420" s="505"/>
      <c r="I420" s="505"/>
      <c r="J420" s="505"/>
      <c r="K420" s="505"/>
      <c r="L420" s="505"/>
      <c r="M420" s="505"/>
      <c r="N420" s="505"/>
      <c r="O420" s="505"/>
      <c r="P420" s="505"/>
      <c r="Q420" s="505"/>
      <c r="R420" s="505"/>
      <c r="S420" s="505"/>
      <c r="T420" s="505"/>
      <c r="U420" s="505"/>
      <c r="V420" s="505"/>
      <c r="W420" s="505"/>
    </row>
    <row r="421" spans="1:23" ht="9.9499999999999993" customHeight="1">
      <c r="A421" s="505"/>
      <c r="B421" s="505"/>
      <c r="C421" s="505"/>
      <c r="D421" s="505"/>
      <c r="E421" s="505"/>
      <c r="F421" s="505"/>
      <c r="G421" s="505"/>
      <c r="H421" s="505"/>
      <c r="I421" s="505"/>
      <c r="J421" s="505"/>
      <c r="K421" s="505"/>
      <c r="L421" s="505"/>
      <c r="M421" s="505"/>
      <c r="N421" s="505"/>
      <c r="O421" s="505"/>
      <c r="P421" s="505"/>
      <c r="Q421" s="505"/>
      <c r="R421" s="505"/>
      <c r="S421" s="505"/>
      <c r="T421" s="505"/>
      <c r="U421" s="505"/>
      <c r="V421" s="505"/>
      <c r="W421" s="505"/>
    </row>
    <row r="422" spans="1:23" ht="9.9499999999999993" customHeight="1">
      <c r="A422" s="505"/>
      <c r="B422" s="505"/>
      <c r="C422" s="505"/>
      <c r="D422" s="505"/>
      <c r="E422" s="505"/>
      <c r="F422" s="505"/>
      <c r="G422" s="505"/>
      <c r="H422" s="505"/>
      <c r="I422" s="505"/>
      <c r="J422" s="505"/>
      <c r="K422" s="505"/>
      <c r="L422" s="505"/>
      <c r="M422" s="505"/>
      <c r="N422" s="505"/>
      <c r="O422" s="505"/>
      <c r="P422" s="505"/>
      <c r="Q422" s="505"/>
      <c r="R422" s="505"/>
      <c r="S422" s="505"/>
      <c r="T422" s="505"/>
      <c r="U422" s="505"/>
      <c r="V422" s="505"/>
      <c r="W422" s="505"/>
    </row>
    <row r="423" spans="1:23" ht="9.9499999999999993" customHeight="1">
      <c r="A423" s="505"/>
      <c r="B423" s="505"/>
      <c r="C423" s="505"/>
      <c r="D423" s="505"/>
      <c r="E423" s="505"/>
      <c r="F423" s="505"/>
      <c r="G423" s="505"/>
      <c r="H423" s="505"/>
      <c r="I423" s="505"/>
      <c r="J423" s="505"/>
      <c r="K423" s="505"/>
      <c r="L423" s="505"/>
      <c r="M423" s="505"/>
      <c r="N423" s="505"/>
      <c r="O423" s="505"/>
      <c r="P423" s="505"/>
      <c r="Q423" s="505"/>
      <c r="R423" s="505"/>
      <c r="S423" s="505"/>
      <c r="T423" s="505"/>
      <c r="U423" s="505"/>
      <c r="V423" s="505"/>
      <c r="W423" s="505"/>
    </row>
    <row r="424" spans="1:23" ht="9.9499999999999993" customHeight="1">
      <c r="A424" s="505"/>
      <c r="B424" s="505"/>
      <c r="C424" s="505"/>
      <c r="D424" s="505"/>
      <c r="E424" s="505"/>
      <c r="F424" s="505"/>
      <c r="G424" s="505"/>
      <c r="H424" s="505"/>
      <c r="I424" s="505"/>
      <c r="J424" s="505"/>
      <c r="K424" s="505"/>
      <c r="L424" s="505"/>
      <c r="M424" s="505"/>
      <c r="N424" s="505"/>
      <c r="O424" s="505"/>
      <c r="P424" s="505"/>
      <c r="Q424" s="505"/>
      <c r="R424" s="505"/>
      <c r="S424" s="505"/>
      <c r="T424" s="505"/>
      <c r="U424" s="505"/>
      <c r="V424" s="505"/>
      <c r="W424" s="505"/>
    </row>
    <row r="425" spans="1:23" ht="9.9499999999999993" customHeight="1">
      <c r="A425" s="505"/>
      <c r="B425" s="505"/>
      <c r="C425" s="505"/>
      <c r="D425" s="505"/>
      <c r="E425" s="505"/>
      <c r="F425" s="505"/>
      <c r="G425" s="505"/>
      <c r="H425" s="505"/>
      <c r="I425" s="505"/>
      <c r="J425" s="505"/>
      <c r="K425" s="505"/>
      <c r="L425" s="505"/>
      <c r="M425" s="505"/>
      <c r="N425" s="505"/>
      <c r="O425" s="505"/>
      <c r="P425" s="505"/>
      <c r="Q425" s="505"/>
      <c r="R425" s="505"/>
      <c r="S425" s="505"/>
      <c r="T425" s="505"/>
      <c r="U425" s="505"/>
      <c r="V425" s="505"/>
      <c r="W425" s="505"/>
    </row>
    <row r="426" spans="1:23" ht="9.9499999999999993" customHeight="1">
      <c r="A426" s="505"/>
      <c r="B426" s="505"/>
      <c r="C426" s="505"/>
      <c r="D426" s="505"/>
      <c r="E426" s="505"/>
      <c r="F426" s="505"/>
      <c r="G426" s="505"/>
      <c r="H426" s="505"/>
      <c r="I426" s="505"/>
      <c r="J426" s="505"/>
      <c r="K426" s="505"/>
      <c r="L426" s="505"/>
      <c r="M426" s="505"/>
      <c r="N426" s="505"/>
      <c r="O426" s="505"/>
      <c r="P426" s="505"/>
      <c r="Q426" s="505"/>
      <c r="R426" s="505"/>
      <c r="S426" s="505"/>
      <c r="T426" s="505"/>
      <c r="U426" s="505"/>
      <c r="V426" s="505"/>
      <c r="W426" s="505"/>
    </row>
    <row r="427" spans="1:23" ht="9.9499999999999993" customHeight="1">
      <c r="A427" s="505"/>
      <c r="B427" s="505"/>
      <c r="C427" s="505"/>
      <c r="D427" s="505"/>
      <c r="E427" s="505"/>
      <c r="F427" s="505"/>
      <c r="G427" s="505"/>
      <c r="H427" s="505"/>
      <c r="I427" s="505"/>
      <c r="J427" s="505"/>
      <c r="K427" s="505"/>
      <c r="L427" s="505"/>
      <c r="M427" s="505"/>
      <c r="N427" s="505"/>
      <c r="O427" s="505"/>
      <c r="P427" s="505"/>
      <c r="Q427" s="505"/>
      <c r="R427" s="505"/>
      <c r="S427" s="505"/>
      <c r="T427" s="505"/>
      <c r="U427" s="505"/>
      <c r="V427" s="505"/>
      <c r="W427" s="505"/>
    </row>
    <row r="428" spans="1:23" ht="9.9499999999999993" customHeight="1">
      <c r="A428" s="505"/>
      <c r="B428" s="505"/>
      <c r="C428" s="505"/>
      <c r="D428" s="505"/>
      <c r="E428" s="505"/>
      <c r="F428" s="505"/>
      <c r="G428" s="505"/>
      <c r="H428" s="505"/>
      <c r="I428" s="505"/>
      <c r="J428" s="505"/>
      <c r="K428" s="505"/>
      <c r="L428" s="505"/>
      <c r="M428" s="505"/>
      <c r="N428" s="505"/>
      <c r="O428" s="505"/>
      <c r="P428" s="505"/>
      <c r="Q428" s="505"/>
      <c r="R428" s="505"/>
      <c r="S428" s="505"/>
      <c r="T428" s="505"/>
      <c r="U428" s="505"/>
      <c r="V428" s="505"/>
      <c r="W428" s="505"/>
    </row>
    <row r="429" spans="1:23" ht="9.9499999999999993" customHeight="1">
      <c r="A429" s="505"/>
      <c r="B429" s="505"/>
      <c r="C429" s="505"/>
      <c r="D429" s="505"/>
      <c r="E429" s="505"/>
      <c r="F429" s="505"/>
      <c r="G429" s="505"/>
      <c r="H429" s="505"/>
      <c r="I429" s="505"/>
      <c r="J429" s="505"/>
      <c r="K429" s="505"/>
      <c r="L429" s="505"/>
      <c r="M429" s="505"/>
      <c r="N429" s="505"/>
      <c r="O429" s="505"/>
      <c r="P429" s="505"/>
      <c r="Q429" s="505"/>
      <c r="R429" s="505"/>
      <c r="S429" s="505"/>
      <c r="T429" s="505"/>
      <c r="U429" s="505"/>
      <c r="V429" s="505"/>
      <c r="W429" s="505"/>
    </row>
    <row r="430" spans="1:23" ht="9.9499999999999993" customHeight="1">
      <c r="A430" s="505"/>
      <c r="B430" s="505"/>
      <c r="C430" s="505"/>
      <c r="D430" s="505"/>
      <c r="E430" s="505"/>
      <c r="F430" s="505"/>
      <c r="G430" s="505"/>
      <c r="H430" s="505"/>
      <c r="I430" s="505"/>
      <c r="J430" s="505"/>
      <c r="K430" s="505"/>
      <c r="L430" s="505"/>
      <c r="M430" s="505"/>
      <c r="N430" s="505"/>
      <c r="O430" s="505"/>
      <c r="P430" s="505"/>
      <c r="Q430" s="505"/>
      <c r="R430" s="505"/>
      <c r="S430" s="505"/>
      <c r="T430" s="505"/>
      <c r="U430" s="505"/>
      <c r="V430" s="505"/>
      <c r="W430" s="505"/>
    </row>
    <row r="431" spans="1:23" ht="9.9499999999999993" customHeight="1">
      <c r="A431" s="505"/>
      <c r="B431" s="505"/>
      <c r="C431" s="505"/>
      <c r="D431" s="505"/>
      <c r="E431" s="505"/>
      <c r="F431" s="505"/>
      <c r="G431" s="505"/>
      <c r="H431" s="505"/>
      <c r="I431" s="505"/>
      <c r="J431" s="505"/>
      <c r="K431" s="505"/>
      <c r="L431" s="505"/>
      <c r="M431" s="505"/>
      <c r="N431" s="505"/>
      <c r="O431" s="505"/>
      <c r="P431" s="505"/>
      <c r="Q431" s="505"/>
      <c r="R431" s="505"/>
      <c r="S431" s="505"/>
      <c r="T431" s="505"/>
      <c r="U431" s="505"/>
      <c r="V431" s="505"/>
      <c r="W431" s="505"/>
    </row>
    <row r="432" spans="1:23" ht="9.9499999999999993" customHeight="1">
      <c r="A432" s="505"/>
      <c r="B432" s="505"/>
      <c r="C432" s="505"/>
      <c r="D432" s="505"/>
      <c r="E432" s="505"/>
      <c r="F432" s="505"/>
      <c r="G432" s="505"/>
      <c r="H432" s="505"/>
      <c r="I432" s="505"/>
      <c r="J432" s="505"/>
      <c r="K432" s="505"/>
      <c r="L432" s="505"/>
      <c r="M432" s="505"/>
      <c r="N432" s="505"/>
      <c r="O432" s="505"/>
      <c r="P432" s="505"/>
      <c r="Q432" s="505"/>
      <c r="R432" s="505"/>
      <c r="S432" s="505"/>
      <c r="T432" s="505"/>
      <c r="U432" s="505"/>
      <c r="V432" s="505"/>
      <c r="W432" s="505"/>
    </row>
    <row r="433" spans="1:23" ht="9.9499999999999993" customHeight="1">
      <c r="A433" s="505"/>
      <c r="B433" s="505"/>
      <c r="C433" s="505"/>
      <c r="D433" s="505"/>
      <c r="E433" s="505"/>
      <c r="F433" s="505"/>
      <c r="G433" s="505"/>
      <c r="H433" s="505"/>
      <c r="I433" s="505"/>
      <c r="J433" s="505"/>
      <c r="K433" s="505"/>
      <c r="L433" s="505"/>
      <c r="M433" s="505"/>
      <c r="N433" s="505"/>
      <c r="O433" s="505"/>
      <c r="P433" s="505"/>
      <c r="Q433" s="505"/>
      <c r="R433" s="505"/>
      <c r="S433" s="505"/>
      <c r="T433" s="505"/>
      <c r="U433" s="505"/>
      <c r="V433" s="505"/>
      <c r="W433" s="505"/>
    </row>
    <row r="434" spans="1:23" ht="9.9499999999999993" customHeight="1">
      <c r="A434" s="505"/>
      <c r="B434" s="505"/>
      <c r="C434" s="505"/>
      <c r="D434" s="505"/>
      <c r="E434" s="505"/>
      <c r="F434" s="505"/>
      <c r="G434" s="505"/>
      <c r="H434" s="505"/>
      <c r="I434" s="505"/>
      <c r="J434" s="505"/>
      <c r="K434" s="505"/>
      <c r="L434" s="505"/>
      <c r="M434" s="505"/>
      <c r="N434" s="505"/>
      <c r="O434" s="505"/>
      <c r="P434" s="505"/>
      <c r="Q434" s="505"/>
      <c r="R434" s="505"/>
      <c r="S434" s="505"/>
      <c r="T434" s="505"/>
      <c r="U434" s="505"/>
      <c r="V434" s="505"/>
      <c r="W434" s="505"/>
    </row>
    <row r="435" spans="1:23" ht="9.9499999999999993" customHeight="1">
      <c r="A435" s="505"/>
      <c r="B435" s="505"/>
      <c r="C435" s="505"/>
      <c r="D435" s="505"/>
      <c r="E435" s="505"/>
      <c r="F435" s="505"/>
      <c r="G435" s="505"/>
      <c r="H435" s="505"/>
      <c r="I435" s="505"/>
      <c r="J435" s="505"/>
      <c r="K435" s="505"/>
      <c r="L435" s="505"/>
      <c r="M435" s="505"/>
      <c r="N435" s="505"/>
      <c r="O435" s="505"/>
      <c r="P435" s="505"/>
      <c r="Q435" s="505"/>
      <c r="R435" s="505"/>
      <c r="S435" s="505"/>
      <c r="T435" s="505"/>
      <c r="U435" s="505"/>
      <c r="V435" s="505"/>
      <c r="W435" s="505"/>
    </row>
    <row r="436" spans="1:23" ht="9.9499999999999993" customHeight="1">
      <c r="A436" s="505"/>
      <c r="B436" s="505"/>
      <c r="C436" s="505"/>
      <c r="D436" s="505"/>
      <c r="E436" s="505"/>
      <c r="F436" s="505"/>
      <c r="G436" s="505"/>
      <c r="H436" s="505"/>
      <c r="I436" s="505"/>
      <c r="J436" s="505"/>
      <c r="K436" s="505"/>
      <c r="L436" s="505"/>
      <c r="M436" s="505"/>
      <c r="N436" s="505"/>
      <c r="O436" s="505"/>
      <c r="P436" s="505"/>
      <c r="Q436" s="505"/>
      <c r="R436" s="505"/>
      <c r="S436" s="505"/>
      <c r="T436" s="505"/>
      <c r="U436" s="505"/>
      <c r="V436" s="505"/>
      <c r="W436" s="505"/>
    </row>
    <row r="437" spans="1:23" ht="9.9499999999999993" customHeight="1">
      <c r="A437" s="505"/>
      <c r="B437" s="505"/>
      <c r="C437" s="505"/>
      <c r="D437" s="505"/>
      <c r="E437" s="505"/>
      <c r="F437" s="505"/>
      <c r="G437" s="505"/>
      <c r="H437" s="505"/>
      <c r="I437" s="505"/>
      <c r="J437" s="505"/>
      <c r="K437" s="505"/>
      <c r="L437" s="505"/>
      <c r="M437" s="505"/>
      <c r="N437" s="505"/>
      <c r="O437" s="505"/>
      <c r="P437" s="505"/>
      <c r="Q437" s="505"/>
      <c r="R437" s="505"/>
      <c r="S437" s="505"/>
      <c r="T437" s="505"/>
      <c r="U437" s="505"/>
      <c r="V437" s="505"/>
      <c r="W437" s="505"/>
    </row>
    <row r="438" spans="1:23" ht="9.9499999999999993" customHeight="1">
      <c r="A438" s="505"/>
      <c r="B438" s="505"/>
      <c r="C438" s="505"/>
      <c r="D438" s="505"/>
      <c r="E438" s="505"/>
      <c r="F438" s="505"/>
      <c r="G438" s="505"/>
      <c r="H438" s="505"/>
      <c r="I438" s="505"/>
      <c r="J438" s="505"/>
      <c r="K438" s="505"/>
      <c r="L438" s="505"/>
      <c r="M438" s="505"/>
      <c r="N438" s="505"/>
      <c r="O438" s="505"/>
      <c r="P438" s="505"/>
      <c r="Q438" s="505"/>
      <c r="R438" s="505"/>
      <c r="S438" s="505"/>
      <c r="T438" s="505"/>
      <c r="U438" s="505"/>
      <c r="V438" s="505"/>
      <c r="W438" s="505"/>
    </row>
    <row r="439" spans="1:23" ht="9.9499999999999993" customHeight="1">
      <c r="A439" s="505"/>
      <c r="B439" s="505"/>
      <c r="C439" s="505"/>
      <c r="D439" s="505"/>
      <c r="E439" s="505"/>
      <c r="F439" s="505"/>
      <c r="G439" s="505"/>
      <c r="H439" s="505"/>
      <c r="I439" s="505"/>
      <c r="J439" s="505"/>
      <c r="K439" s="505"/>
      <c r="L439" s="505"/>
      <c r="M439" s="505"/>
      <c r="N439" s="505"/>
      <c r="O439" s="505"/>
      <c r="P439" s="505"/>
      <c r="Q439" s="505"/>
      <c r="R439" s="505"/>
      <c r="S439" s="505"/>
      <c r="T439" s="505"/>
      <c r="U439" s="505"/>
      <c r="V439" s="505"/>
      <c r="W439" s="505"/>
    </row>
    <row r="440" spans="1:23" ht="9.9499999999999993" customHeight="1">
      <c r="A440" s="505"/>
      <c r="B440" s="505"/>
      <c r="C440" s="505"/>
      <c r="D440" s="505"/>
      <c r="E440" s="505"/>
      <c r="F440" s="505"/>
      <c r="G440" s="505"/>
      <c r="H440" s="505"/>
      <c r="I440" s="505"/>
      <c r="J440" s="505"/>
      <c r="K440" s="505"/>
      <c r="L440" s="505"/>
      <c r="M440" s="505"/>
      <c r="N440" s="505"/>
      <c r="O440" s="505"/>
      <c r="P440" s="505"/>
      <c r="Q440" s="505"/>
      <c r="R440" s="505"/>
      <c r="S440" s="505"/>
      <c r="T440" s="505"/>
      <c r="U440" s="505"/>
      <c r="V440" s="505"/>
      <c r="W440" s="505"/>
    </row>
    <row r="441" spans="1:23" ht="9.9499999999999993" customHeight="1">
      <c r="A441" s="505"/>
      <c r="B441" s="505"/>
      <c r="C441" s="505"/>
      <c r="D441" s="505"/>
      <c r="E441" s="505"/>
      <c r="F441" s="505"/>
      <c r="G441" s="505"/>
      <c r="H441" s="505"/>
      <c r="I441" s="505"/>
      <c r="J441" s="505"/>
      <c r="K441" s="505"/>
      <c r="L441" s="505"/>
      <c r="M441" s="505"/>
      <c r="N441" s="505"/>
      <c r="O441" s="505"/>
      <c r="P441" s="505"/>
      <c r="Q441" s="505"/>
      <c r="R441" s="505"/>
      <c r="S441" s="505"/>
      <c r="T441" s="505"/>
      <c r="U441" s="505"/>
      <c r="V441" s="505"/>
      <c r="W441" s="505"/>
    </row>
    <row r="442" spans="1:23" ht="9.9499999999999993" customHeight="1">
      <c r="A442" s="505"/>
      <c r="B442" s="505"/>
      <c r="C442" s="505"/>
      <c r="D442" s="505"/>
      <c r="E442" s="505"/>
      <c r="F442" s="505"/>
      <c r="G442" s="505"/>
      <c r="H442" s="505"/>
      <c r="I442" s="505"/>
      <c r="J442" s="505"/>
      <c r="K442" s="505"/>
      <c r="L442" s="505"/>
      <c r="M442" s="505"/>
      <c r="N442" s="505"/>
      <c r="O442" s="505"/>
      <c r="P442" s="505"/>
      <c r="Q442" s="505"/>
      <c r="R442" s="505"/>
      <c r="S442" s="505"/>
      <c r="T442" s="505"/>
      <c r="U442" s="505"/>
      <c r="V442" s="505"/>
      <c r="W442" s="505"/>
    </row>
    <row r="443" spans="1:23" ht="9.9499999999999993" customHeight="1">
      <c r="A443" s="505"/>
      <c r="B443" s="505"/>
      <c r="C443" s="505"/>
      <c r="D443" s="505"/>
      <c r="E443" s="505"/>
      <c r="F443" s="505"/>
      <c r="G443" s="505"/>
      <c r="H443" s="505"/>
      <c r="I443" s="505"/>
      <c r="J443" s="505"/>
      <c r="K443" s="505"/>
      <c r="L443" s="505"/>
      <c r="M443" s="505"/>
      <c r="N443" s="505"/>
      <c r="O443" s="505"/>
      <c r="P443" s="505"/>
      <c r="Q443" s="505"/>
      <c r="R443" s="505"/>
      <c r="S443" s="505"/>
      <c r="T443" s="505"/>
      <c r="U443" s="505"/>
      <c r="V443" s="505"/>
      <c r="W443" s="505"/>
    </row>
    <row r="444" spans="1:23" ht="9.9499999999999993" customHeight="1">
      <c r="A444" s="505"/>
      <c r="B444" s="505"/>
      <c r="C444" s="505"/>
      <c r="D444" s="505"/>
      <c r="E444" s="505"/>
      <c r="F444" s="505"/>
      <c r="G444" s="505"/>
      <c r="H444" s="505"/>
      <c r="I444" s="505"/>
      <c r="J444" s="505"/>
      <c r="K444" s="505"/>
      <c r="L444" s="505"/>
      <c r="M444" s="505"/>
      <c r="N444" s="505"/>
      <c r="O444" s="505"/>
      <c r="P444" s="505"/>
      <c r="Q444" s="505"/>
      <c r="R444" s="505"/>
      <c r="S444" s="505"/>
      <c r="T444" s="505"/>
      <c r="U444" s="505"/>
      <c r="V444" s="505"/>
      <c r="W444" s="505"/>
    </row>
    <row r="445" spans="1:23" ht="9.9499999999999993" customHeight="1">
      <c r="A445" s="505"/>
      <c r="B445" s="505"/>
      <c r="C445" s="505"/>
      <c r="D445" s="505"/>
      <c r="E445" s="505"/>
      <c r="F445" s="505"/>
      <c r="G445" s="505"/>
      <c r="H445" s="505"/>
      <c r="I445" s="505"/>
      <c r="J445" s="505"/>
      <c r="K445" s="505"/>
      <c r="L445" s="505"/>
      <c r="M445" s="505"/>
      <c r="N445" s="505"/>
      <c r="O445" s="505"/>
      <c r="P445" s="505"/>
      <c r="Q445" s="505"/>
      <c r="R445" s="505"/>
      <c r="S445" s="505"/>
      <c r="T445" s="505"/>
      <c r="U445" s="505"/>
      <c r="V445" s="505"/>
      <c r="W445" s="505"/>
    </row>
    <row r="446" spans="1:23" ht="9.9499999999999993" customHeight="1">
      <c r="A446" s="505"/>
      <c r="B446" s="505"/>
      <c r="C446" s="505"/>
      <c r="D446" s="505"/>
      <c r="E446" s="505"/>
      <c r="F446" s="505"/>
      <c r="G446" s="505"/>
      <c r="H446" s="505"/>
      <c r="I446" s="505"/>
      <c r="J446" s="505"/>
      <c r="K446" s="505"/>
      <c r="L446" s="505"/>
      <c r="M446" s="505"/>
      <c r="N446" s="505"/>
      <c r="O446" s="505"/>
      <c r="P446" s="505"/>
      <c r="Q446" s="505"/>
      <c r="R446" s="505"/>
      <c r="S446" s="505"/>
      <c r="T446" s="505"/>
      <c r="U446" s="505"/>
      <c r="V446" s="505"/>
      <c r="W446" s="505"/>
    </row>
    <row r="447" spans="1:23" ht="9.9499999999999993" customHeight="1">
      <c r="A447" s="505"/>
      <c r="B447" s="505"/>
      <c r="C447" s="505"/>
      <c r="D447" s="505"/>
      <c r="E447" s="505"/>
      <c r="F447" s="505"/>
      <c r="G447" s="505"/>
      <c r="H447" s="505"/>
      <c r="I447" s="505"/>
      <c r="J447" s="505"/>
      <c r="K447" s="505"/>
      <c r="L447" s="505"/>
      <c r="M447" s="505"/>
      <c r="N447" s="505"/>
      <c r="O447" s="505"/>
      <c r="P447" s="505"/>
      <c r="Q447" s="505"/>
      <c r="R447" s="505"/>
      <c r="S447" s="505"/>
      <c r="T447" s="505"/>
      <c r="U447" s="505"/>
      <c r="V447" s="505"/>
      <c r="W447" s="505"/>
    </row>
    <row r="448" spans="1:23" ht="9.9499999999999993" customHeight="1">
      <c r="A448" s="505"/>
      <c r="B448" s="505"/>
      <c r="C448" s="505"/>
      <c r="D448" s="505"/>
      <c r="E448" s="505"/>
      <c r="F448" s="505"/>
      <c r="G448" s="505"/>
      <c r="H448" s="505"/>
      <c r="I448" s="505"/>
      <c r="J448" s="505"/>
      <c r="K448" s="505"/>
      <c r="L448" s="505"/>
      <c r="M448" s="505"/>
      <c r="N448" s="505"/>
      <c r="O448" s="505"/>
      <c r="P448" s="505"/>
      <c r="Q448" s="505"/>
      <c r="R448" s="505"/>
      <c r="S448" s="505"/>
      <c r="T448" s="505"/>
      <c r="U448" s="505"/>
      <c r="V448" s="505"/>
      <c r="W448" s="505"/>
    </row>
    <row r="449" spans="1:23" ht="9.9499999999999993" customHeight="1">
      <c r="A449" s="505"/>
      <c r="B449" s="505"/>
      <c r="C449" s="505"/>
      <c r="D449" s="505"/>
      <c r="E449" s="505"/>
      <c r="F449" s="505"/>
      <c r="G449" s="505"/>
      <c r="H449" s="505"/>
      <c r="I449" s="505"/>
      <c r="J449" s="505"/>
      <c r="K449" s="505"/>
      <c r="L449" s="505"/>
      <c r="M449" s="505"/>
      <c r="N449" s="505"/>
      <c r="O449" s="505"/>
      <c r="P449" s="505"/>
      <c r="Q449" s="505"/>
      <c r="R449" s="505"/>
      <c r="S449" s="505"/>
      <c r="T449" s="505"/>
      <c r="U449" s="505"/>
      <c r="V449" s="505"/>
      <c r="W449" s="505"/>
    </row>
    <row r="450" spans="1:23" ht="9.9499999999999993" customHeight="1">
      <c r="A450" s="505"/>
      <c r="B450" s="505"/>
      <c r="C450" s="505"/>
      <c r="D450" s="505"/>
      <c r="E450" s="505"/>
      <c r="F450" s="505"/>
      <c r="G450" s="505"/>
      <c r="H450" s="505"/>
      <c r="I450" s="505"/>
      <c r="J450" s="505"/>
      <c r="K450" s="505"/>
      <c r="L450" s="505"/>
      <c r="M450" s="505"/>
      <c r="N450" s="505"/>
      <c r="O450" s="505"/>
      <c r="P450" s="505"/>
      <c r="Q450" s="505"/>
      <c r="R450" s="505"/>
      <c r="S450" s="505"/>
      <c r="T450" s="505"/>
      <c r="U450" s="505"/>
      <c r="V450" s="505"/>
      <c r="W450" s="505"/>
    </row>
    <row r="451" spans="1:23" ht="9.9499999999999993" customHeight="1">
      <c r="A451" s="505"/>
      <c r="B451" s="505"/>
      <c r="C451" s="505"/>
      <c r="D451" s="505"/>
      <c r="E451" s="505"/>
      <c r="F451" s="505"/>
      <c r="G451" s="505"/>
      <c r="H451" s="505"/>
      <c r="I451" s="505"/>
      <c r="J451" s="505"/>
      <c r="K451" s="505"/>
      <c r="L451" s="505"/>
      <c r="M451" s="505"/>
      <c r="N451" s="505"/>
      <c r="O451" s="505"/>
      <c r="P451" s="505"/>
      <c r="Q451" s="505"/>
      <c r="R451" s="505"/>
      <c r="S451" s="505"/>
      <c r="T451" s="505"/>
      <c r="U451" s="505"/>
      <c r="V451" s="505"/>
      <c r="W451" s="505"/>
    </row>
    <row r="452" spans="1:23" ht="9.9499999999999993" customHeight="1">
      <c r="A452" s="505"/>
      <c r="B452" s="505"/>
      <c r="C452" s="505"/>
      <c r="D452" s="505"/>
      <c r="E452" s="505"/>
      <c r="F452" s="505"/>
      <c r="G452" s="505"/>
      <c r="H452" s="505"/>
      <c r="I452" s="505"/>
      <c r="J452" s="505"/>
      <c r="K452" s="505"/>
      <c r="L452" s="505"/>
      <c r="M452" s="505"/>
      <c r="N452" s="505"/>
      <c r="O452" s="505"/>
      <c r="P452" s="505"/>
      <c r="Q452" s="505"/>
      <c r="R452" s="505"/>
      <c r="S452" s="505"/>
      <c r="T452" s="505"/>
      <c r="U452" s="505"/>
      <c r="V452" s="505"/>
      <c r="W452" s="505"/>
    </row>
    <row r="453" spans="1:23" ht="9.9499999999999993" customHeight="1">
      <c r="A453" s="505"/>
      <c r="B453" s="505"/>
      <c r="C453" s="505"/>
      <c r="D453" s="505"/>
      <c r="E453" s="505"/>
      <c r="F453" s="505"/>
      <c r="G453" s="505"/>
      <c r="H453" s="505"/>
      <c r="I453" s="505"/>
      <c r="J453" s="505"/>
      <c r="K453" s="505"/>
      <c r="L453" s="505"/>
      <c r="M453" s="505"/>
      <c r="N453" s="505"/>
      <c r="O453" s="505"/>
      <c r="P453" s="505"/>
      <c r="Q453" s="505"/>
      <c r="R453" s="505"/>
      <c r="S453" s="505"/>
      <c r="T453" s="505"/>
      <c r="U453" s="505"/>
      <c r="V453" s="505"/>
      <c r="W453" s="505"/>
    </row>
    <row r="454" spans="1:23" ht="9.9499999999999993" customHeight="1">
      <c r="A454" s="505"/>
      <c r="B454" s="505"/>
      <c r="C454" s="505"/>
      <c r="D454" s="505"/>
      <c r="E454" s="505"/>
      <c r="F454" s="505"/>
      <c r="G454" s="505"/>
      <c r="H454" s="505"/>
      <c r="I454" s="505"/>
      <c r="J454" s="505"/>
      <c r="K454" s="505"/>
      <c r="L454" s="505"/>
      <c r="M454" s="505"/>
      <c r="N454" s="505"/>
      <c r="O454" s="505"/>
      <c r="P454" s="505"/>
      <c r="Q454" s="505"/>
      <c r="R454" s="505"/>
      <c r="S454" s="505"/>
      <c r="T454" s="505"/>
      <c r="U454" s="505"/>
      <c r="V454" s="505"/>
      <c r="W454" s="505"/>
    </row>
    <row r="455" spans="1:23" ht="9.9499999999999993" customHeight="1">
      <c r="A455" s="505"/>
      <c r="B455" s="505"/>
      <c r="C455" s="505"/>
      <c r="D455" s="505"/>
      <c r="E455" s="505"/>
      <c r="F455" s="505"/>
      <c r="G455" s="505"/>
      <c r="H455" s="505"/>
      <c r="I455" s="505"/>
      <c r="J455" s="505"/>
      <c r="K455" s="505"/>
      <c r="L455" s="505"/>
      <c r="M455" s="505"/>
      <c r="N455" s="505"/>
      <c r="O455" s="505"/>
      <c r="P455" s="505"/>
      <c r="Q455" s="505"/>
      <c r="R455" s="505"/>
      <c r="S455" s="505"/>
      <c r="T455" s="505"/>
      <c r="U455" s="505"/>
      <c r="V455" s="505"/>
      <c r="W455" s="505"/>
    </row>
    <row r="456" spans="1:23" ht="9.9499999999999993" customHeight="1">
      <c r="A456" s="505"/>
      <c r="B456" s="505"/>
      <c r="C456" s="505"/>
      <c r="D456" s="505"/>
      <c r="E456" s="505"/>
      <c r="F456" s="505"/>
      <c r="G456" s="505"/>
      <c r="H456" s="505"/>
      <c r="I456" s="505"/>
      <c r="J456" s="505"/>
      <c r="K456" s="505"/>
      <c r="L456" s="505"/>
      <c r="M456" s="505"/>
      <c r="N456" s="505"/>
      <c r="O456" s="505"/>
      <c r="P456" s="505"/>
      <c r="Q456" s="505"/>
      <c r="R456" s="505"/>
      <c r="S456" s="505"/>
      <c r="T456" s="505"/>
      <c r="U456" s="505"/>
      <c r="V456" s="505"/>
      <c r="W456" s="505"/>
    </row>
    <row r="457" spans="1:23" ht="9.9499999999999993" customHeight="1">
      <c r="A457" s="505"/>
      <c r="B457" s="505"/>
      <c r="C457" s="505"/>
      <c r="D457" s="505"/>
      <c r="E457" s="505"/>
      <c r="F457" s="505"/>
      <c r="G457" s="505"/>
      <c r="H457" s="505"/>
      <c r="I457" s="505"/>
      <c r="J457" s="505"/>
      <c r="K457" s="505"/>
      <c r="L457" s="505"/>
      <c r="M457" s="505"/>
      <c r="N457" s="505"/>
      <c r="O457" s="505"/>
      <c r="P457" s="505"/>
      <c r="Q457" s="505"/>
      <c r="R457" s="505"/>
      <c r="S457" s="505"/>
      <c r="T457" s="505"/>
      <c r="U457" s="505"/>
      <c r="V457" s="505"/>
      <c r="W457" s="505"/>
    </row>
    <row r="458" spans="1:23" ht="9.9499999999999993" customHeight="1">
      <c r="A458" s="505"/>
      <c r="B458" s="505"/>
      <c r="C458" s="505"/>
      <c r="D458" s="505"/>
      <c r="E458" s="505"/>
      <c r="F458" s="505"/>
      <c r="G458" s="505"/>
      <c r="H458" s="505"/>
      <c r="I458" s="505"/>
      <c r="J458" s="505"/>
      <c r="K458" s="505"/>
      <c r="L458" s="505"/>
      <c r="M458" s="505"/>
      <c r="N458" s="505"/>
      <c r="O458" s="505"/>
      <c r="P458" s="505"/>
      <c r="Q458" s="505"/>
      <c r="R458" s="505"/>
      <c r="S458" s="505"/>
      <c r="T458" s="505"/>
      <c r="U458" s="505"/>
      <c r="V458" s="505"/>
      <c r="W458" s="505"/>
    </row>
    <row r="459" spans="1:23" ht="9.9499999999999993" customHeight="1">
      <c r="A459" s="505"/>
      <c r="B459" s="505"/>
      <c r="C459" s="505"/>
      <c r="D459" s="505"/>
      <c r="E459" s="505"/>
      <c r="F459" s="505"/>
      <c r="G459" s="505"/>
      <c r="H459" s="505"/>
      <c r="I459" s="505"/>
      <c r="J459" s="505"/>
      <c r="K459" s="505"/>
      <c r="L459" s="505"/>
      <c r="M459" s="505"/>
      <c r="N459" s="505"/>
      <c r="O459" s="505"/>
      <c r="P459" s="505"/>
      <c r="Q459" s="505"/>
      <c r="R459" s="505"/>
      <c r="S459" s="505"/>
      <c r="T459" s="505"/>
      <c r="U459" s="505"/>
      <c r="V459" s="505"/>
      <c r="W459" s="505"/>
    </row>
    <row r="460" spans="1:23" ht="9.9499999999999993" customHeight="1">
      <c r="A460" s="505"/>
      <c r="B460" s="505"/>
      <c r="C460" s="505"/>
      <c r="D460" s="505"/>
      <c r="E460" s="505"/>
      <c r="F460" s="505"/>
      <c r="G460" s="505"/>
      <c r="H460" s="505"/>
      <c r="I460" s="505"/>
      <c r="J460" s="505"/>
      <c r="K460" s="505"/>
      <c r="L460" s="505"/>
      <c r="M460" s="505"/>
      <c r="N460" s="505"/>
      <c r="O460" s="505"/>
      <c r="P460" s="505"/>
      <c r="Q460" s="505"/>
      <c r="R460" s="505"/>
      <c r="S460" s="505"/>
      <c r="T460" s="505"/>
      <c r="U460" s="505"/>
      <c r="V460" s="505"/>
      <c r="W460" s="505"/>
    </row>
    <row r="461" spans="1:23" ht="9.9499999999999993" customHeight="1">
      <c r="A461" s="505"/>
      <c r="B461" s="505"/>
      <c r="C461" s="505"/>
      <c r="D461" s="505"/>
      <c r="E461" s="505"/>
      <c r="F461" s="505"/>
      <c r="G461" s="505"/>
      <c r="H461" s="505"/>
      <c r="I461" s="505"/>
      <c r="J461" s="505"/>
      <c r="K461" s="505"/>
      <c r="L461" s="505"/>
      <c r="M461" s="505"/>
      <c r="N461" s="505"/>
      <c r="O461" s="505"/>
      <c r="P461" s="505"/>
      <c r="Q461" s="505"/>
      <c r="R461" s="505"/>
      <c r="S461" s="505"/>
      <c r="T461" s="505"/>
      <c r="U461" s="505"/>
      <c r="V461" s="505"/>
      <c r="W461" s="505"/>
    </row>
    <row r="462" spans="1:23" ht="9.9499999999999993" customHeight="1">
      <c r="A462" s="505"/>
      <c r="B462" s="505"/>
      <c r="C462" s="505"/>
      <c r="D462" s="505"/>
      <c r="E462" s="505"/>
      <c r="F462" s="505"/>
      <c r="G462" s="505"/>
      <c r="H462" s="505"/>
      <c r="I462" s="505"/>
      <c r="J462" s="505"/>
      <c r="K462" s="505"/>
      <c r="L462" s="505"/>
      <c r="M462" s="505"/>
      <c r="N462" s="505"/>
      <c r="O462" s="505"/>
      <c r="P462" s="505"/>
      <c r="Q462" s="505"/>
      <c r="R462" s="505"/>
      <c r="S462" s="505"/>
      <c r="T462" s="505"/>
      <c r="U462" s="505"/>
      <c r="V462" s="505"/>
      <c r="W462" s="505"/>
    </row>
    <row r="463" spans="1:23" ht="9.9499999999999993" customHeight="1">
      <c r="A463" s="505"/>
      <c r="B463" s="505"/>
      <c r="C463" s="505"/>
      <c r="D463" s="505"/>
      <c r="E463" s="505"/>
      <c r="F463" s="505"/>
      <c r="G463" s="505"/>
      <c r="H463" s="505"/>
      <c r="I463" s="505"/>
      <c r="J463" s="505"/>
      <c r="K463" s="505"/>
      <c r="L463" s="505"/>
      <c r="M463" s="505"/>
      <c r="N463" s="505"/>
      <c r="O463" s="505"/>
      <c r="P463" s="505"/>
      <c r="Q463" s="505"/>
      <c r="R463" s="505"/>
      <c r="S463" s="505"/>
      <c r="T463" s="505"/>
      <c r="U463" s="505"/>
      <c r="V463" s="505"/>
      <c r="W463" s="505"/>
    </row>
    <row r="464" spans="1:23" ht="9.9499999999999993" customHeight="1">
      <c r="A464" s="505"/>
      <c r="B464" s="505"/>
      <c r="C464" s="505"/>
      <c r="D464" s="505"/>
      <c r="E464" s="505"/>
      <c r="F464" s="505"/>
      <c r="G464" s="505"/>
      <c r="H464" s="505"/>
      <c r="I464" s="505"/>
      <c r="J464" s="505"/>
      <c r="K464" s="505"/>
      <c r="L464" s="505"/>
      <c r="M464" s="505"/>
      <c r="N464" s="505"/>
      <c r="O464" s="505"/>
      <c r="P464" s="505"/>
      <c r="Q464" s="505"/>
      <c r="R464" s="505"/>
      <c r="S464" s="505"/>
      <c r="T464" s="505"/>
      <c r="U464" s="505"/>
      <c r="V464" s="505"/>
      <c r="W464" s="505"/>
    </row>
    <row r="465" spans="1:23" ht="9.9499999999999993" customHeight="1">
      <c r="A465" s="505"/>
      <c r="B465" s="505"/>
      <c r="C465" s="505"/>
      <c r="D465" s="505"/>
      <c r="E465" s="505"/>
      <c r="F465" s="505"/>
      <c r="G465" s="505"/>
      <c r="H465" s="505"/>
      <c r="I465" s="505"/>
      <c r="J465" s="505"/>
      <c r="K465" s="505"/>
      <c r="L465" s="505"/>
      <c r="M465" s="505"/>
      <c r="N465" s="505"/>
      <c r="O465" s="505"/>
      <c r="P465" s="505"/>
      <c r="Q465" s="505"/>
      <c r="R465" s="505"/>
      <c r="S465" s="505"/>
      <c r="T465" s="505"/>
      <c r="U465" s="505"/>
      <c r="V465" s="505"/>
      <c r="W465" s="505"/>
    </row>
    <row r="466" spans="1:23" ht="9.9499999999999993" customHeight="1">
      <c r="A466" s="505"/>
      <c r="B466" s="505"/>
      <c r="C466" s="505"/>
      <c r="D466" s="505"/>
      <c r="E466" s="505"/>
      <c r="F466" s="505"/>
      <c r="G466" s="505"/>
      <c r="H466" s="505"/>
      <c r="I466" s="505"/>
      <c r="J466" s="505"/>
      <c r="K466" s="505"/>
      <c r="L466" s="505"/>
      <c r="M466" s="505"/>
      <c r="N466" s="505"/>
      <c r="O466" s="505"/>
      <c r="P466" s="505"/>
      <c r="Q466" s="505"/>
      <c r="R466" s="505"/>
      <c r="S466" s="505"/>
      <c r="T466" s="505"/>
      <c r="U466" s="505"/>
      <c r="V466" s="505"/>
      <c r="W466" s="505"/>
    </row>
    <row r="467" spans="1:23" ht="9.9499999999999993" customHeight="1">
      <c r="A467" s="505"/>
      <c r="B467" s="505"/>
      <c r="C467" s="505"/>
      <c r="D467" s="505"/>
      <c r="E467" s="505"/>
      <c r="F467" s="505"/>
      <c r="G467" s="505"/>
      <c r="H467" s="505"/>
      <c r="I467" s="505"/>
      <c r="J467" s="505"/>
      <c r="K467" s="505"/>
      <c r="L467" s="505"/>
      <c r="M467" s="505"/>
      <c r="N467" s="505"/>
      <c r="O467" s="505"/>
      <c r="P467" s="505"/>
      <c r="Q467" s="505"/>
      <c r="R467" s="505"/>
      <c r="S467" s="505"/>
      <c r="T467" s="505"/>
      <c r="U467" s="505"/>
      <c r="V467" s="505"/>
      <c r="W467" s="505"/>
    </row>
    <row r="468" spans="1:23" ht="9.9499999999999993" customHeight="1">
      <c r="A468" s="505"/>
      <c r="B468" s="505"/>
      <c r="C468" s="505"/>
      <c r="D468" s="505"/>
      <c r="E468" s="505"/>
      <c r="F468" s="505"/>
      <c r="G468" s="505"/>
      <c r="H468" s="505"/>
      <c r="I468" s="505"/>
      <c r="J468" s="505"/>
      <c r="K468" s="505"/>
      <c r="L468" s="505"/>
      <c r="M468" s="505"/>
      <c r="N468" s="505"/>
      <c r="O468" s="505"/>
      <c r="P468" s="505"/>
      <c r="Q468" s="505"/>
      <c r="R468" s="505"/>
      <c r="S468" s="505"/>
      <c r="T468" s="505"/>
      <c r="U468" s="505"/>
      <c r="V468" s="505"/>
      <c r="W468" s="505"/>
    </row>
    <row r="469" spans="1:23" ht="9.9499999999999993" customHeight="1">
      <c r="A469" s="505"/>
      <c r="B469" s="505"/>
      <c r="C469" s="505"/>
      <c r="D469" s="505"/>
      <c r="E469" s="505"/>
      <c r="F469" s="505"/>
      <c r="G469" s="505"/>
      <c r="H469" s="505"/>
      <c r="I469" s="505"/>
      <c r="J469" s="505"/>
      <c r="K469" s="505"/>
      <c r="L469" s="505"/>
      <c r="M469" s="505"/>
      <c r="N469" s="505"/>
      <c r="O469" s="505"/>
      <c r="P469" s="505"/>
      <c r="Q469" s="505"/>
      <c r="R469" s="505"/>
      <c r="S469" s="505"/>
      <c r="T469" s="505"/>
      <c r="U469" s="505"/>
      <c r="V469" s="505"/>
      <c r="W469" s="505"/>
    </row>
    <row r="470" spans="1:23" ht="9.9499999999999993" customHeight="1">
      <c r="A470" s="505"/>
      <c r="B470" s="505"/>
      <c r="C470" s="505"/>
      <c r="D470" s="505"/>
      <c r="E470" s="505"/>
      <c r="F470" s="505"/>
      <c r="G470" s="505"/>
      <c r="H470" s="505"/>
      <c r="I470" s="505"/>
      <c r="J470" s="505"/>
      <c r="K470" s="505"/>
      <c r="L470" s="505"/>
      <c r="M470" s="505"/>
      <c r="N470" s="505"/>
      <c r="O470" s="505"/>
      <c r="P470" s="505"/>
      <c r="Q470" s="505"/>
      <c r="R470" s="505"/>
      <c r="S470" s="505"/>
      <c r="T470" s="505"/>
      <c r="U470" s="505"/>
      <c r="V470" s="505"/>
      <c r="W470" s="505"/>
    </row>
    <row r="471" spans="1:23" ht="9.9499999999999993" customHeight="1">
      <c r="A471" s="505"/>
      <c r="B471" s="505"/>
      <c r="C471" s="505"/>
      <c r="D471" s="505"/>
      <c r="E471" s="505"/>
      <c r="F471" s="505"/>
      <c r="G471" s="505"/>
      <c r="H471" s="505"/>
      <c r="I471" s="505"/>
      <c r="J471" s="505"/>
      <c r="K471" s="505"/>
      <c r="L471" s="505"/>
      <c r="M471" s="505"/>
      <c r="N471" s="505"/>
      <c r="O471" s="505"/>
      <c r="P471" s="505"/>
      <c r="Q471" s="505"/>
      <c r="R471" s="505"/>
      <c r="S471" s="505"/>
      <c r="T471" s="505"/>
      <c r="U471" s="505"/>
      <c r="V471" s="505"/>
      <c r="W471" s="505"/>
    </row>
    <row r="472" spans="1:23" ht="9.9499999999999993" customHeight="1">
      <c r="A472" s="505"/>
      <c r="B472" s="505"/>
      <c r="C472" s="505"/>
      <c r="D472" s="505"/>
      <c r="E472" s="505"/>
      <c r="F472" s="505"/>
      <c r="G472" s="505"/>
      <c r="H472" s="505"/>
      <c r="I472" s="505"/>
      <c r="J472" s="505"/>
      <c r="K472" s="505"/>
      <c r="L472" s="505"/>
      <c r="M472" s="505"/>
      <c r="N472" s="505"/>
      <c r="O472" s="505"/>
      <c r="P472" s="505"/>
      <c r="Q472" s="505"/>
      <c r="R472" s="505"/>
      <c r="S472" s="505"/>
      <c r="T472" s="505"/>
      <c r="U472" s="505"/>
      <c r="V472" s="505"/>
      <c r="W472" s="505"/>
    </row>
    <row r="473" spans="1:23" ht="9.9499999999999993" customHeight="1">
      <c r="A473" s="505"/>
      <c r="B473" s="505"/>
      <c r="C473" s="505"/>
      <c r="D473" s="505"/>
      <c r="E473" s="505"/>
      <c r="F473" s="505"/>
      <c r="G473" s="505"/>
      <c r="H473" s="505"/>
      <c r="I473" s="505"/>
      <c r="J473" s="505"/>
      <c r="K473" s="505"/>
      <c r="L473" s="505"/>
      <c r="M473" s="505"/>
      <c r="N473" s="505"/>
      <c r="O473" s="505"/>
      <c r="P473" s="505"/>
      <c r="Q473" s="505"/>
      <c r="R473" s="505"/>
      <c r="S473" s="505"/>
      <c r="T473" s="505"/>
      <c r="U473" s="505"/>
      <c r="V473" s="505"/>
      <c r="W473" s="505"/>
    </row>
    <row r="474" spans="1:23" ht="9.9499999999999993" customHeight="1">
      <c r="A474" s="505"/>
      <c r="B474" s="505"/>
      <c r="C474" s="505"/>
      <c r="D474" s="505"/>
      <c r="E474" s="505"/>
      <c r="F474" s="505"/>
      <c r="G474" s="505"/>
      <c r="H474" s="505"/>
      <c r="I474" s="505"/>
      <c r="J474" s="505"/>
      <c r="K474" s="505"/>
      <c r="L474" s="505"/>
      <c r="M474" s="505"/>
      <c r="N474" s="505"/>
      <c r="O474" s="505"/>
      <c r="P474" s="505"/>
      <c r="Q474" s="505"/>
      <c r="R474" s="505"/>
      <c r="S474" s="505"/>
      <c r="T474" s="505"/>
      <c r="U474" s="505"/>
      <c r="V474" s="505"/>
      <c r="W474" s="505"/>
    </row>
    <row r="475" spans="1:23" ht="9.9499999999999993" customHeight="1">
      <c r="A475" s="505"/>
      <c r="B475" s="505"/>
      <c r="C475" s="505"/>
      <c r="D475" s="505"/>
      <c r="E475" s="505"/>
      <c r="F475" s="505"/>
      <c r="G475" s="505"/>
      <c r="H475" s="505"/>
      <c r="I475" s="505"/>
      <c r="J475" s="505"/>
      <c r="K475" s="505"/>
      <c r="L475" s="505"/>
      <c r="M475" s="505"/>
      <c r="N475" s="505"/>
      <c r="O475" s="505"/>
      <c r="P475" s="505"/>
      <c r="Q475" s="505"/>
      <c r="R475" s="505"/>
      <c r="S475" s="505"/>
      <c r="T475" s="505"/>
      <c r="U475" s="505"/>
      <c r="V475" s="505"/>
      <c r="W475" s="505"/>
    </row>
    <row r="476" spans="1:23" ht="9.9499999999999993" customHeight="1">
      <c r="A476" s="505"/>
      <c r="B476" s="505"/>
      <c r="C476" s="505"/>
      <c r="D476" s="505"/>
      <c r="E476" s="505"/>
      <c r="F476" s="505"/>
      <c r="G476" s="505"/>
      <c r="H476" s="505"/>
      <c r="I476" s="505"/>
      <c r="J476" s="505"/>
      <c r="K476" s="505"/>
      <c r="L476" s="505"/>
      <c r="M476" s="505"/>
      <c r="N476" s="505"/>
      <c r="O476" s="505"/>
      <c r="P476" s="505"/>
      <c r="Q476" s="505"/>
      <c r="R476" s="505"/>
      <c r="S476" s="505"/>
      <c r="T476" s="505"/>
      <c r="U476" s="505"/>
      <c r="V476" s="505"/>
      <c r="W476" s="505"/>
    </row>
    <row r="477" spans="1:23" ht="9.9499999999999993" customHeight="1">
      <c r="A477" s="505"/>
      <c r="B477" s="505"/>
      <c r="C477" s="505"/>
      <c r="D477" s="505"/>
      <c r="E477" s="505"/>
      <c r="F477" s="505"/>
      <c r="G477" s="505"/>
      <c r="H477" s="505"/>
      <c r="I477" s="505"/>
      <c r="J477" s="505"/>
      <c r="K477" s="505"/>
      <c r="L477" s="505"/>
      <c r="M477" s="505"/>
      <c r="N477" s="505"/>
      <c r="O477" s="505"/>
      <c r="P477" s="505"/>
      <c r="Q477" s="505"/>
      <c r="R477" s="505"/>
      <c r="S477" s="505"/>
      <c r="T477" s="505"/>
      <c r="U477" s="505"/>
      <c r="V477" s="505"/>
      <c r="W477" s="505"/>
    </row>
    <row r="478" spans="1:23" ht="9.9499999999999993" customHeight="1">
      <c r="A478" s="505"/>
      <c r="B478" s="505"/>
      <c r="C478" s="505"/>
      <c r="D478" s="505"/>
      <c r="E478" s="505"/>
      <c r="F478" s="505"/>
      <c r="G478" s="505"/>
      <c r="H478" s="505"/>
      <c r="I478" s="505"/>
      <c r="J478" s="505"/>
      <c r="K478" s="505"/>
      <c r="L478" s="505"/>
      <c r="M478" s="505"/>
      <c r="N478" s="505"/>
      <c r="O478" s="505"/>
      <c r="P478" s="505"/>
      <c r="Q478" s="505"/>
      <c r="R478" s="505"/>
      <c r="S478" s="505"/>
      <c r="T478" s="505"/>
      <c r="U478" s="505"/>
      <c r="V478" s="505"/>
      <c r="W478" s="505"/>
    </row>
    <row r="479" spans="1:23" ht="9.9499999999999993" customHeight="1">
      <c r="A479" s="505"/>
      <c r="B479" s="505"/>
      <c r="C479" s="505"/>
      <c r="D479" s="505"/>
      <c r="E479" s="505"/>
      <c r="F479" s="505"/>
      <c r="G479" s="505"/>
      <c r="H479" s="505"/>
      <c r="I479" s="505"/>
      <c r="J479" s="505"/>
      <c r="K479" s="505"/>
      <c r="L479" s="505"/>
      <c r="M479" s="505"/>
      <c r="N479" s="505"/>
      <c r="O479" s="505"/>
      <c r="P479" s="505"/>
      <c r="Q479" s="505"/>
      <c r="R479" s="505"/>
      <c r="S479" s="505"/>
      <c r="T479" s="505"/>
      <c r="U479" s="505"/>
      <c r="V479" s="505"/>
      <c r="W479" s="505"/>
    </row>
    <row r="480" spans="1:23" ht="9.9499999999999993" customHeight="1">
      <c r="A480" s="505"/>
      <c r="B480" s="505"/>
      <c r="C480" s="505"/>
      <c r="D480" s="505"/>
      <c r="E480" s="505"/>
      <c r="F480" s="505"/>
      <c r="G480" s="505"/>
      <c r="H480" s="505"/>
      <c r="I480" s="505"/>
      <c r="J480" s="505"/>
      <c r="K480" s="505"/>
      <c r="L480" s="505"/>
      <c r="M480" s="505"/>
      <c r="N480" s="505"/>
      <c r="O480" s="505"/>
      <c r="P480" s="505"/>
      <c r="Q480" s="505"/>
      <c r="R480" s="505"/>
      <c r="S480" s="505"/>
      <c r="T480" s="505"/>
      <c r="U480" s="505"/>
      <c r="V480" s="505"/>
      <c r="W480" s="505"/>
    </row>
    <row r="481" spans="1:23" ht="9.9499999999999993" customHeight="1">
      <c r="A481" s="505"/>
      <c r="B481" s="505"/>
      <c r="C481" s="505"/>
      <c r="D481" s="505"/>
      <c r="E481" s="505"/>
      <c r="F481" s="505"/>
      <c r="G481" s="505"/>
      <c r="H481" s="505"/>
      <c r="I481" s="505"/>
      <c r="J481" s="505"/>
      <c r="K481" s="505"/>
      <c r="L481" s="505"/>
      <c r="M481" s="505"/>
      <c r="N481" s="505"/>
      <c r="O481" s="505"/>
      <c r="P481" s="505"/>
      <c r="Q481" s="505"/>
      <c r="R481" s="505"/>
      <c r="S481" s="505"/>
      <c r="T481" s="505"/>
      <c r="U481" s="505"/>
      <c r="V481" s="505"/>
      <c r="W481" s="505"/>
    </row>
    <row r="482" spans="1:23" ht="9.9499999999999993" customHeight="1">
      <c r="A482" s="505"/>
      <c r="B482" s="505"/>
      <c r="C482" s="505"/>
      <c r="D482" s="505"/>
      <c r="E482" s="505"/>
      <c r="F482" s="505"/>
      <c r="G482" s="505"/>
      <c r="H482" s="505"/>
      <c r="I482" s="505"/>
      <c r="J482" s="505"/>
      <c r="K482" s="505"/>
      <c r="L482" s="505"/>
      <c r="M482" s="505"/>
      <c r="N482" s="505"/>
      <c r="O482" s="505"/>
      <c r="P482" s="505"/>
      <c r="Q482" s="505"/>
      <c r="R482" s="505"/>
      <c r="S482" s="505"/>
      <c r="T482" s="505"/>
      <c r="U482" s="505"/>
      <c r="V482" s="505"/>
      <c r="W482" s="505"/>
    </row>
    <row r="483" spans="1:23" ht="9.9499999999999993" customHeight="1">
      <c r="A483" s="505"/>
      <c r="B483" s="505"/>
      <c r="C483" s="505"/>
      <c r="D483" s="505"/>
      <c r="E483" s="505"/>
      <c r="F483" s="505"/>
      <c r="G483" s="505"/>
      <c r="H483" s="505"/>
      <c r="I483" s="505"/>
      <c r="J483" s="505"/>
      <c r="K483" s="505"/>
      <c r="L483" s="505"/>
      <c r="M483" s="505"/>
      <c r="N483" s="505"/>
      <c r="O483" s="505"/>
      <c r="P483" s="505"/>
      <c r="Q483" s="505"/>
      <c r="R483" s="505"/>
      <c r="S483" s="505"/>
      <c r="T483" s="505"/>
      <c r="U483" s="505"/>
      <c r="V483" s="505"/>
      <c r="W483" s="505"/>
    </row>
    <row r="484" spans="1:23" ht="9.9499999999999993" customHeight="1">
      <c r="A484" s="505"/>
      <c r="B484" s="505"/>
      <c r="C484" s="505"/>
      <c r="D484" s="505"/>
      <c r="E484" s="505"/>
      <c r="F484" s="505"/>
      <c r="G484" s="505"/>
      <c r="H484" s="505"/>
      <c r="I484" s="505"/>
      <c r="J484" s="505"/>
      <c r="K484" s="505"/>
      <c r="L484" s="505"/>
      <c r="M484" s="505"/>
      <c r="N484" s="505"/>
      <c r="O484" s="505"/>
      <c r="P484" s="505"/>
      <c r="Q484" s="505"/>
      <c r="R484" s="505"/>
      <c r="S484" s="505"/>
      <c r="T484" s="505"/>
      <c r="U484" s="505"/>
      <c r="V484" s="505"/>
      <c r="W484" s="505"/>
    </row>
    <row r="485" spans="1:23" ht="9.9499999999999993" customHeight="1">
      <c r="A485" s="505"/>
      <c r="B485" s="505"/>
      <c r="C485" s="505"/>
      <c r="D485" s="505"/>
      <c r="E485" s="505"/>
      <c r="F485" s="505"/>
      <c r="G485" s="505"/>
      <c r="H485" s="505"/>
      <c r="I485" s="505"/>
      <c r="J485" s="505"/>
      <c r="K485" s="505"/>
      <c r="L485" s="505"/>
      <c r="M485" s="505"/>
      <c r="N485" s="505"/>
      <c r="O485" s="505"/>
      <c r="P485" s="505"/>
      <c r="Q485" s="505"/>
      <c r="R485" s="505"/>
      <c r="S485" s="505"/>
      <c r="T485" s="505"/>
      <c r="U485" s="505"/>
      <c r="V485" s="505"/>
      <c r="W485" s="505"/>
    </row>
    <row r="486" spans="1:23" ht="9.9499999999999993" customHeight="1">
      <c r="A486" s="505"/>
      <c r="B486" s="505"/>
      <c r="C486" s="505"/>
      <c r="D486" s="505"/>
      <c r="E486" s="505"/>
      <c r="F486" s="505"/>
      <c r="G486" s="505"/>
      <c r="H486" s="505"/>
      <c r="I486" s="505"/>
      <c r="J486" s="505"/>
      <c r="K486" s="505"/>
      <c r="L486" s="505"/>
      <c r="M486" s="505"/>
      <c r="N486" s="505"/>
      <c r="O486" s="505"/>
      <c r="P486" s="505"/>
      <c r="Q486" s="505"/>
      <c r="R486" s="505"/>
      <c r="S486" s="505"/>
      <c r="T486" s="505"/>
      <c r="U486" s="505"/>
      <c r="V486" s="505"/>
      <c r="W486" s="505"/>
    </row>
    <row r="487" spans="1:23" ht="9.9499999999999993" customHeight="1">
      <c r="A487" s="505"/>
      <c r="B487" s="505"/>
      <c r="C487" s="505"/>
      <c r="D487" s="505"/>
      <c r="E487" s="505"/>
      <c r="F487" s="505"/>
      <c r="G487" s="505"/>
      <c r="H487" s="505"/>
      <c r="I487" s="505"/>
      <c r="J487" s="505"/>
      <c r="K487" s="505"/>
      <c r="L487" s="505"/>
      <c r="M487" s="505"/>
      <c r="N487" s="505"/>
      <c r="O487" s="505"/>
      <c r="P487" s="505"/>
      <c r="Q487" s="505"/>
      <c r="R487" s="505"/>
      <c r="S487" s="505"/>
      <c r="T487" s="505"/>
      <c r="U487" s="505"/>
      <c r="V487" s="505"/>
      <c r="W487" s="505"/>
    </row>
    <row r="488" spans="1:23" ht="9.9499999999999993" customHeight="1">
      <c r="A488" s="505"/>
      <c r="B488" s="505"/>
      <c r="C488" s="505"/>
      <c r="D488" s="505"/>
      <c r="E488" s="505"/>
      <c r="F488" s="505"/>
      <c r="G488" s="505"/>
      <c r="H488" s="505"/>
      <c r="I488" s="505"/>
      <c r="J488" s="505"/>
      <c r="K488" s="505"/>
      <c r="L488" s="505"/>
      <c r="M488" s="505"/>
      <c r="N488" s="505"/>
      <c r="O488" s="505"/>
      <c r="P488" s="505"/>
      <c r="Q488" s="505"/>
      <c r="R488" s="505"/>
      <c r="S488" s="505"/>
      <c r="T488" s="505"/>
      <c r="U488" s="505"/>
      <c r="V488" s="505"/>
      <c r="W488" s="505"/>
    </row>
    <row r="489" spans="1:23" ht="9.9499999999999993" customHeight="1">
      <c r="A489" s="505"/>
      <c r="B489" s="505"/>
      <c r="C489" s="505"/>
      <c r="D489" s="505"/>
      <c r="E489" s="505"/>
      <c r="F489" s="505"/>
      <c r="G489" s="505"/>
      <c r="H489" s="505"/>
      <c r="I489" s="505"/>
      <c r="J489" s="505"/>
      <c r="K489" s="505"/>
      <c r="L489" s="505"/>
      <c r="M489" s="505"/>
      <c r="N489" s="505"/>
      <c r="O489" s="505"/>
      <c r="P489" s="505"/>
      <c r="Q489" s="505"/>
      <c r="R489" s="505"/>
      <c r="S489" s="505"/>
      <c r="T489" s="505"/>
      <c r="U489" s="505"/>
      <c r="V489" s="505"/>
      <c r="W489" s="505"/>
    </row>
    <row r="490" spans="1:23" ht="9.9499999999999993" customHeight="1">
      <c r="A490" s="505"/>
      <c r="B490" s="505"/>
      <c r="C490" s="505"/>
      <c r="D490" s="505"/>
      <c r="E490" s="505"/>
      <c r="F490" s="505"/>
      <c r="G490" s="505"/>
      <c r="H490" s="505"/>
      <c r="I490" s="505"/>
      <c r="J490" s="505"/>
      <c r="K490" s="505"/>
      <c r="L490" s="505"/>
      <c r="M490" s="505"/>
      <c r="N490" s="505"/>
      <c r="O490" s="505"/>
      <c r="P490" s="505"/>
      <c r="Q490" s="505"/>
      <c r="R490" s="505"/>
      <c r="S490" s="505"/>
      <c r="T490" s="505"/>
      <c r="U490" s="505"/>
      <c r="V490" s="505"/>
      <c r="W490" s="505"/>
    </row>
    <row r="491" spans="1:23" ht="9.9499999999999993" customHeight="1">
      <c r="A491" s="505"/>
      <c r="B491" s="505"/>
      <c r="C491" s="505"/>
      <c r="D491" s="505"/>
      <c r="E491" s="505"/>
      <c r="F491" s="505"/>
      <c r="G491" s="505"/>
      <c r="H491" s="505"/>
      <c r="I491" s="505"/>
      <c r="J491" s="505"/>
      <c r="K491" s="505"/>
      <c r="L491" s="505"/>
      <c r="M491" s="505"/>
      <c r="N491" s="505"/>
      <c r="O491" s="505"/>
      <c r="P491" s="505"/>
      <c r="Q491" s="505"/>
      <c r="R491" s="505"/>
      <c r="S491" s="505"/>
      <c r="T491" s="505"/>
      <c r="U491" s="505"/>
      <c r="V491" s="505"/>
      <c r="W491" s="505"/>
    </row>
    <row r="492" spans="1:23" ht="9.9499999999999993" customHeight="1">
      <c r="A492" s="505"/>
      <c r="B492" s="505"/>
      <c r="C492" s="505"/>
      <c r="D492" s="505"/>
      <c r="E492" s="505"/>
      <c r="F492" s="505"/>
      <c r="G492" s="505"/>
      <c r="H492" s="505"/>
      <c r="I492" s="505"/>
      <c r="J492" s="505"/>
      <c r="K492" s="505"/>
      <c r="L492" s="505"/>
      <c r="M492" s="505"/>
      <c r="N492" s="505"/>
      <c r="O492" s="505"/>
      <c r="P492" s="505"/>
      <c r="Q492" s="505"/>
      <c r="R492" s="505"/>
      <c r="S492" s="505"/>
      <c r="T492" s="505"/>
      <c r="U492" s="505"/>
      <c r="V492" s="505"/>
      <c r="W492" s="505"/>
    </row>
    <row r="493" spans="1:23" ht="9.9499999999999993" customHeight="1">
      <c r="A493" s="505"/>
      <c r="B493" s="505"/>
      <c r="C493" s="505"/>
      <c r="D493" s="505"/>
      <c r="E493" s="505"/>
      <c r="F493" s="505"/>
      <c r="G493" s="505"/>
      <c r="H493" s="505"/>
      <c r="I493" s="505"/>
      <c r="J493" s="505"/>
      <c r="K493" s="505"/>
      <c r="L493" s="505"/>
      <c r="M493" s="505"/>
      <c r="N493" s="505"/>
      <c r="O493" s="505"/>
      <c r="P493" s="505"/>
      <c r="Q493" s="505"/>
      <c r="R493" s="505"/>
      <c r="S493" s="505"/>
      <c r="T493" s="505"/>
      <c r="U493" s="505"/>
      <c r="V493" s="505"/>
      <c r="W493" s="505"/>
    </row>
    <row r="494" spans="1:23" ht="9.9499999999999993" customHeight="1">
      <c r="A494" s="505"/>
      <c r="B494" s="505"/>
      <c r="C494" s="505"/>
      <c r="D494" s="505"/>
      <c r="E494" s="505"/>
      <c r="F494" s="505"/>
      <c r="G494" s="505"/>
      <c r="H494" s="505"/>
      <c r="I494" s="505"/>
      <c r="J494" s="505"/>
      <c r="K494" s="505"/>
      <c r="L494" s="505"/>
      <c r="M494" s="505"/>
      <c r="N494" s="505"/>
      <c r="O494" s="505"/>
      <c r="P494" s="505"/>
      <c r="Q494" s="505"/>
      <c r="R494" s="505"/>
      <c r="S494" s="505"/>
      <c r="T494" s="505"/>
      <c r="U494" s="505"/>
      <c r="V494" s="505"/>
      <c r="W494" s="505"/>
    </row>
    <row r="495" spans="1:23" ht="9.9499999999999993" customHeight="1">
      <c r="A495" s="505"/>
      <c r="B495" s="505"/>
      <c r="C495" s="505"/>
      <c r="D495" s="505"/>
      <c r="E495" s="505"/>
      <c r="F495" s="505"/>
      <c r="G495" s="505"/>
      <c r="H495" s="505"/>
      <c r="I495" s="505"/>
      <c r="J495" s="505"/>
      <c r="K495" s="505"/>
      <c r="L495" s="505"/>
      <c r="M495" s="505"/>
      <c r="N495" s="505"/>
      <c r="O495" s="505"/>
      <c r="P495" s="505"/>
      <c r="Q495" s="505"/>
      <c r="R495" s="505"/>
      <c r="S495" s="505"/>
      <c r="T495" s="505"/>
      <c r="U495" s="505"/>
      <c r="V495" s="505"/>
      <c r="W495" s="505"/>
    </row>
    <row r="496" spans="1:23" ht="9.9499999999999993" customHeight="1">
      <c r="A496" s="505"/>
      <c r="B496" s="505"/>
      <c r="C496" s="505"/>
      <c r="D496" s="505"/>
      <c r="E496" s="505"/>
      <c r="F496" s="505"/>
      <c r="G496" s="505"/>
      <c r="H496" s="505"/>
      <c r="I496" s="505"/>
      <c r="J496" s="505"/>
      <c r="K496" s="505"/>
      <c r="L496" s="505"/>
      <c r="M496" s="505"/>
      <c r="N496" s="505"/>
      <c r="O496" s="505"/>
      <c r="P496" s="505"/>
      <c r="Q496" s="505"/>
      <c r="R496" s="505"/>
      <c r="S496" s="505"/>
      <c r="T496" s="505"/>
      <c r="U496" s="505"/>
      <c r="V496" s="505"/>
      <c r="W496" s="505"/>
    </row>
    <row r="497" spans="1:23" ht="9.9499999999999993" customHeight="1">
      <c r="A497" s="505"/>
      <c r="B497" s="505"/>
      <c r="C497" s="505"/>
      <c r="D497" s="505"/>
      <c r="E497" s="505"/>
      <c r="F497" s="505"/>
      <c r="G497" s="505"/>
      <c r="H497" s="505"/>
      <c r="I497" s="505"/>
      <c r="J497" s="505"/>
      <c r="K497" s="505"/>
      <c r="L497" s="505"/>
      <c r="M497" s="505"/>
      <c r="N497" s="505"/>
      <c r="O497" s="505"/>
      <c r="P497" s="505"/>
      <c r="Q497" s="505"/>
      <c r="R497" s="505"/>
      <c r="S497" s="505"/>
      <c r="T497" s="505"/>
      <c r="U497" s="505"/>
      <c r="V497" s="505"/>
      <c r="W497" s="505"/>
    </row>
    <row r="498" spans="1:23" ht="9.9499999999999993" customHeight="1">
      <c r="A498" s="505"/>
      <c r="B498" s="505"/>
      <c r="C498" s="505"/>
      <c r="D498" s="505"/>
      <c r="E498" s="505"/>
      <c r="F498" s="505"/>
      <c r="G498" s="505"/>
      <c r="H498" s="505"/>
      <c r="I498" s="505"/>
      <c r="J498" s="505"/>
      <c r="K498" s="505"/>
      <c r="L498" s="505"/>
      <c r="M498" s="505"/>
      <c r="N498" s="505"/>
      <c r="O498" s="505"/>
      <c r="P498" s="505"/>
      <c r="Q498" s="505"/>
      <c r="R498" s="505"/>
      <c r="S498" s="505"/>
      <c r="T498" s="505"/>
      <c r="U498" s="505"/>
      <c r="V498" s="505"/>
      <c r="W498" s="505"/>
    </row>
    <row r="499" spans="1:23" ht="9.9499999999999993" customHeight="1">
      <c r="A499" s="505"/>
      <c r="B499" s="505"/>
      <c r="C499" s="505"/>
      <c r="D499" s="505"/>
      <c r="E499" s="505"/>
      <c r="F499" s="505"/>
      <c r="G499" s="505"/>
      <c r="H499" s="505"/>
      <c r="I499" s="505"/>
      <c r="J499" s="505"/>
      <c r="K499" s="505"/>
      <c r="L499" s="505"/>
      <c r="M499" s="505"/>
      <c r="N499" s="505"/>
      <c r="O499" s="505"/>
      <c r="P499" s="505"/>
      <c r="Q499" s="505"/>
      <c r="R499" s="505"/>
      <c r="S499" s="505"/>
      <c r="T499" s="505"/>
      <c r="U499" s="505"/>
      <c r="V499" s="505"/>
      <c r="W499" s="505"/>
    </row>
    <row r="500" spans="1:23" ht="9.9499999999999993" customHeight="1">
      <c r="A500" s="505"/>
      <c r="B500" s="505"/>
      <c r="C500" s="505"/>
      <c r="D500" s="505"/>
      <c r="E500" s="505"/>
      <c r="F500" s="505"/>
      <c r="G500" s="505"/>
      <c r="H500" s="505"/>
      <c r="I500" s="505"/>
      <c r="J500" s="505"/>
      <c r="K500" s="505"/>
      <c r="L500" s="505"/>
      <c r="M500" s="505"/>
      <c r="N500" s="505"/>
      <c r="O500" s="505"/>
      <c r="P500" s="505"/>
      <c r="Q500" s="505"/>
      <c r="R500" s="505"/>
      <c r="S500" s="505"/>
      <c r="T500" s="505"/>
      <c r="U500" s="505"/>
      <c r="V500" s="505"/>
      <c r="W500" s="505"/>
    </row>
    <row r="501" spans="1:23" ht="9.9499999999999993" customHeight="1">
      <c r="A501" s="505"/>
      <c r="B501" s="505"/>
      <c r="C501" s="505"/>
      <c r="D501" s="505"/>
      <c r="E501" s="505"/>
      <c r="F501" s="505"/>
      <c r="G501" s="505"/>
      <c r="H501" s="505"/>
      <c r="I501" s="505"/>
      <c r="J501" s="505"/>
      <c r="K501" s="505"/>
      <c r="L501" s="505"/>
      <c r="M501" s="505"/>
      <c r="N501" s="505"/>
      <c r="O501" s="505"/>
      <c r="P501" s="505"/>
      <c r="Q501" s="505"/>
      <c r="R501" s="505"/>
      <c r="S501" s="505"/>
      <c r="T501" s="505"/>
      <c r="U501" s="505"/>
      <c r="V501" s="505"/>
      <c r="W501" s="505"/>
    </row>
    <row r="502" spans="1:23" ht="9.9499999999999993" customHeight="1">
      <c r="A502" s="505"/>
      <c r="B502" s="505"/>
      <c r="C502" s="505"/>
      <c r="D502" s="505"/>
      <c r="E502" s="505"/>
      <c r="F502" s="505"/>
      <c r="G502" s="505"/>
      <c r="H502" s="505"/>
      <c r="I502" s="505"/>
      <c r="J502" s="505"/>
      <c r="K502" s="505"/>
      <c r="L502" s="505"/>
      <c r="M502" s="505"/>
      <c r="N502" s="505"/>
      <c r="O502" s="505"/>
      <c r="P502" s="505"/>
      <c r="Q502" s="505"/>
      <c r="R502" s="505"/>
      <c r="S502" s="505"/>
      <c r="T502" s="505"/>
      <c r="U502" s="505"/>
      <c r="V502" s="505"/>
      <c r="W502" s="505"/>
    </row>
    <row r="503" spans="1:23" ht="9.9499999999999993" customHeight="1">
      <c r="A503" s="505"/>
      <c r="B503" s="505"/>
      <c r="C503" s="505"/>
      <c r="D503" s="505"/>
      <c r="E503" s="505"/>
      <c r="F503" s="505"/>
      <c r="G503" s="505"/>
      <c r="H503" s="505"/>
      <c r="I503" s="505"/>
      <c r="J503" s="505"/>
      <c r="K503" s="505"/>
      <c r="L503" s="505"/>
      <c r="M503" s="505"/>
      <c r="N503" s="505"/>
      <c r="O503" s="505"/>
      <c r="P503" s="505"/>
      <c r="Q503" s="505"/>
      <c r="R503" s="505"/>
      <c r="S503" s="505"/>
      <c r="T503" s="505"/>
      <c r="U503" s="505"/>
      <c r="V503" s="505"/>
      <c r="W503" s="505"/>
    </row>
    <row r="504" spans="1:23" ht="9.9499999999999993" customHeight="1">
      <c r="A504" s="505"/>
      <c r="B504" s="505"/>
      <c r="C504" s="505"/>
      <c r="D504" s="505"/>
      <c r="E504" s="505"/>
      <c r="F504" s="505"/>
      <c r="G504" s="505"/>
      <c r="H504" s="505"/>
      <c r="I504" s="505"/>
      <c r="J504" s="505"/>
      <c r="K504" s="505"/>
      <c r="L504" s="505"/>
      <c r="M504" s="505"/>
      <c r="N504" s="505"/>
      <c r="O504" s="505"/>
      <c r="P504" s="505"/>
      <c r="Q504" s="505"/>
      <c r="R504" s="505"/>
      <c r="S504" s="505"/>
      <c r="T504" s="505"/>
      <c r="U504" s="505"/>
      <c r="V504" s="505"/>
      <c r="W504" s="505"/>
    </row>
    <row r="505" spans="1:23" ht="9.9499999999999993" customHeight="1">
      <c r="A505" s="505"/>
      <c r="B505" s="505"/>
      <c r="C505" s="505"/>
      <c r="D505" s="505"/>
      <c r="E505" s="505"/>
      <c r="F505" s="505"/>
      <c r="G505" s="505"/>
      <c r="H505" s="505"/>
      <c r="I505" s="505"/>
      <c r="J505" s="505"/>
      <c r="K505" s="505"/>
      <c r="L505" s="505"/>
      <c r="M505" s="505"/>
      <c r="N505" s="505"/>
      <c r="O505" s="505"/>
      <c r="P505" s="505"/>
      <c r="Q505" s="505"/>
      <c r="R505" s="505"/>
      <c r="S505" s="505"/>
      <c r="T505" s="505"/>
      <c r="U505" s="505"/>
      <c r="V505" s="505"/>
      <c r="W505" s="505"/>
    </row>
    <row r="506" spans="1:23" ht="9.9499999999999993" customHeight="1">
      <c r="A506" s="505"/>
      <c r="B506" s="505"/>
      <c r="C506" s="505"/>
      <c r="D506" s="505"/>
      <c r="E506" s="505"/>
      <c r="F506" s="505"/>
      <c r="G506" s="505"/>
      <c r="H506" s="505"/>
      <c r="I506" s="505"/>
      <c r="J506" s="505"/>
      <c r="K506" s="505"/>
      <c r="L506" s="505"/>
      <c r="M506" s="505"/>
      <c r="N506" s="505"/>
      <c r="O506" s="505"/>
      <c r="P506" s="505"/>
      <c r="Q506" s="505"/>
      <c r="R506" s="505"/>
      <c r="S506" s="505"/>
      <c r="T506" s="505"/>
      <c r="U506" s="505"/>
      <c r="V506" s="505"/>
      <c r="W506" s="505"/>
    </row>
    <row r="507" spans="1:23" ht="9.9499999999999993" customHeight="1">
      <c r="A507" s="505"/>
      <c r="B507" s="505"/>
      <c r="C507" s="505"/>
      <c r="D507" s="505"/>
      <c r="E507" s="505"/>
      <c r="F507" s="505"/>
      <c r="G507" s="505"/>
      <c r="H507" s="505"/>
      <c r="I507" s="505"/>
      <c r="J507" s="505"/>
      <c r="K507" s="505"/>
      <c r="L507" s="505"/>
      <c r="M507" s="505"/>
      <c r="N507" s="505"/>
      <c r="O507" s="505"/>
      <c r="P507" s="505"/>
      <c r="Q507" s="505"/>
      <c r="R507" s="505"/>
      <c r="S507" s="505"/>
      <c r="T507" s="505"/>
      <c r="U507" s="505"/>
      <c r="V507" s="505"/>
      <c r="W507" s="505"/>
    </row>
    <row r="508" spans="1:23" ht="9.9499999999999993" customHeight="1">
      <c r="A508" s="505"/>
      <c r="B508" s="505"/>
      <c r="C508" s="505"/>
      <c r="D508" s="505"/>
      <c r="E508" s="505"/>
      <c r="F508" s="505"/>
      <c r="G508" s="505"/>
      <c r="H508" s="505"/>
      <c r="I508" s="505"/>
      <c r="J508" s="505"/>
      <c r="K508" s="505"/>
      <c r="L508" s="505"/>
      <c r="M508" s="505"/>
      <c r="N508" s="505"/>
      <c r="O508" s="505"/>
      <c r="P508" s="505"/>
      <c r="Q508" s="505"/>
      <c r="R508" s="505"/>
      <c r="S508" s="505"/>
      <c r="T508" s="505"/>
      <c r="U508" s="505"/>
      <c r="V508" s="505"/>
      <c r="W508" s="505"/>
    </row>
    <row r="509" spans="1:23" ht="9.9499999999999993" customHeight="1">
      <c r="A509" s="505"/>
      <c r="B509" s="505"/>
      <c r="C509" s="505"/>
      <c r="D509" s="505"/>
      <c r="E509" s="505"/>
      <c r="F509" s="505"/>
      <c r="G509" s="505"/>
      <c r="H509" s="505"/>
      <c r="I509" s="505"/>
      <c r="J509" s="505"/>
      <c r="K509" s="505"/>
      <c r="L509" s="505"/>
      <c r="M509" s="505"/>
      <c r="N509" s="505"/>
      <c r="O509" s="505"/>
      <c r="P509" s="505"/>
      <c r="Q509" s="505"/>
      <c r="R509" s="505"/>
      <c r="S509" s="505"/>
      <c r="T509" s="505"/>
      <c r="U509" s="505"/>
      <c r="V509" s="505"/>
      <c r="W509" s="505"/>
    </row>
    <row r="510" spans="1:23" ht="9.9499999999999993" customHeight="1">
      <c r="A510" s="505"/>
      <c r="B510" s="505"/>
      <c r="C510" s="505"/>
      <c r="D510" s="505"/>
      <c r="E510" s="505"/>
      <c r="F510" s="505"/>
      <c r="G510" s="505"/>
      <c r="H510" s="505"/>
      <c r="I510" s="505"/>
      <c r="J510" s="505"/>
      <c r="K510" s="505"/>
      <c r="L510" s="505"/>
      <c r="M510" s="505"/>
      <c r="N510" s="505"/>
      <c r="O510" s="505"/>
      <c r="P510" s="505"/>
      <c r="Q510" s="505"/>
      <c r="R510" s="505"/>
      <c r="S510" s="505"/>
      <c r="T510" s="505"/>
      <c r="U510" s="505"/>
      <c r="V510" s="505"/>
      <c r="W510" s="505"/>
    </row>
    <row r="511" spans="1:23" ht="9.9499999999999993" customHeight="1">
      <c r="A511" s="505"/>
      <c r="B511" s="505"/>
      <c r="C511" s="505"/>
      <c r="D511" s="505"/>
      <c r="E511" s="505"/>
      <c r="F511" s="505"/>
      <c r="G511" s="505"/>
      <c r="H511" s="505"/>
      <c r="I511" s="505"/>
      <c r="J511" s="505"/>
      <c r="K511" s="505"/>
      <c r="L511" s="505"/>
      <c r="M511" s="505"/>
      <c r="N511" s="505"/>
      <c r="O511" s="505"/>
      <c r="P511" s="505"/>
      <c r="Q511" s="505"/>
      <c r="R511" s="505"/>
      <c r="S511" s="505"/>
      <c r="T511" s="505"/>
      <c r="U511" s="505"/>
      <c r="V511" s="505"/>
      <c r="W511" s="505"/>
    </row>
    <row r="512" spans="1:23" ht="9.9499999999999993" customHeight="1">
      <c r="A512" s="505"/>
      <c r="B512" s="505"/>
      <c r="C512" s="505"/>
      <c r="D512" s="505"/>
      <c r="E512" s="505"/>
      <c r="F512" s="505"/>
      <c r="G512" s="505"/>
      <c r="H512" s="505"/>
      <c r="I512" s="505"/>
      <c r="J512" s="505"/>
      <c r="K512" s="505"/>
      <c r="L512" s="505"/>
      <c r="M512" s="505"/>
      <c r="N512" s="505"/>
      <c r="O512" s="505"/>
      <c r="P512" s="505"/>
      <c r="Q512" s="505"/>
      <c r="R512" s="505"/>
      <c r="S512" s="505"/>
      <c r="T512" s="505"/>
      <c r="U512" s="505"/>
      <c r="V512" s="505"/>
      <c r="W512" s="505"/>
    </row>
    <row r="513" spans="1:23" ht="9.9499999999999993" customHeight="1">
      <c r="A513" s="505"/>
      <c r="B513" s="505"/>
      <c r="C513" s="505"/>
      <c r="D513" s="505"/>
      <c r="E513" s="505"/>
      <c r="F513" s="505"/>
      <c r="G513" s="505"/>
      <c r="H513" s="505"/>
      <c r="I513" s="505"/>
      <c r="J513" s="505"/>
      <c r="K513" s="505"/>
      <c r="L513" s="505"/>
      <c r="M513" s="505"/>
      <c r="N513" s="505"/>
      <c r="O513" s="505"/>
      <c r="P513" s="505"/>
      <c r="Q513" s="505"/>
      <c r="R513" s="505"/>
      <c r="S513" s="505"/>
      <c r="T513" s="505"/>
      <c r="U513" s="505"/>
      <c r="V513" s="505"/>
      <c r="W513" s="505"/>
    </row>
    <row r="514" spans="1:23" ht="9.9499999999999993" customHeight="1">
      <c r="A514" s="505"/>
      <c r="B514" s="505"/>
      <c r="C514" s="505"/>
      <c r="D514" s="505"/>
      <c r="E514" s="505"/>
      <c r="F514" s="505"/>
      <c r="G514" s="505"/>
      <c r="H514" s="505"/>
      <c r="I514" s="505"/>
      <c r="J514" s="505"/>
      <c r="K514" s="505"/>
      <c r="L514" s="505"/>
      <c r="M514" s="505"/>
      <c r="N514" s="505"/>
      <c r="O514" s="505"/>
      <c r="P514" s="505"/>
      <c r="Q514" s="505"/>
      <c r="R514" s="505"/>
      <c r="S514" s="505"/>
      <c r="T514" s="505"/>
      <c r="U514" s="505"/>
      <c r="V514" s="505"/>
      <c r="W514" s="505"/>
    </row>
    <row r="515" spans="1:23" ht="9.9499999999999993" customHeight="1">
      <c r="A515" s="505"/>
      <c r="B515" s="505"/>
      <c r="C515" s="505"/>
      <c r="D515" s="505"/>
      <c r="E515" s="505"/>
      <c r="F515" s="505"/>
      <c r="G515" s="505"/>
      <c r="H515" s="505"/>
      <c r="I515" s="505"/>
      <c r="J515" s="505"/>
      <c r="K515" s="505"/>
      <c r="L515" s="505"/>
      <c r="M515" s="505"/>
      <c r="N515" s="505"/>
      <c r="O515" s="505"/>
      <c r="P515" s="505"/>
      <c r="Q515" s="505"/>
      <c r="R515" s="505"/>
      <c r="S515" s="505"/>
      <c r="T515" s="505"/>
      <c r="U515" s="505"/>
      <c r="V515" s="505"/>
      <c r="W515" s="505"/>
    </row>
    <row r="516" spans="1:23" ht="9.9499999999999993" customHeight="1">
      <c r="A516" s="505"/>
      <c r="B516" s="505"/>
      <c r="C516" s="505"/>
      <c r="D516" s="505"/>
      <c r="E516" s="505"/>
      <c r="F516" s="505"/>
      <c r="G516" s="505"/>
      <c r="H516" s="505"/>
      <c r="I516" s="505"/>
      <c r="J516" s="505"/>
      <c r="K516" s="505"/>
      <c r="L516" s="505"/>
      <c r="M516" s="505"/>
      <c r="N516" s="505"/>
      <c r="O516" s="505"/>
      <c r="P516" s="505"/>
      <c r="Q516" s="505"/>
      <c r="R516" s="505"/>
      <c r="S516" s="505"/>
      <c r="T516" s="505"/>
      <c r="U516" s="505"/>
      <c r="V516" s="505"/>
      <c r="W516" s="505"/>
    </row>
    <row r="517" spans="1:23" ht="9.9499999999999993" customHeight="1">
      <c r="A517" s="505"/>
      <c r="B517" s="505"/>
      <c r="C517" s="505"/>
      <c r="D517" s="505"/>
      <c r="E517" s="505"/>
      <c r="F517" s="505"/>
      <c r="G517" s="505"/>
      <c r="H517" s="505"/>
      <c r="I517" s="505"/>
      <c r="J517" s="505"/>
      <c r="K517" s="505"/>
      <c r="L517" s="505"/>
      <c r="M517" s="505"/>
      <c r="N517" s="505"/>
      <c r="O517" s="505"/>
      <c r="P517" s="505"/>
      <c r="Q517" s="505"/>
      <c r="R517" s="505"/>
      <c r="S517" s="505"/>
      <c r="T517" s="505"/>
      <c r="U517" s="505"/>
      <c r="V517" s="505"/>
      <c r="W517" s="505"/>
    </row>
    <row r="518" spans="1:23" ht="9.9499999999999993" customHeight="1">
      <c r="A518" s="505"/>
      <c r="B518" s="505"/>
      <c r="C518" s="505"/>
      <c r="D518" s="505"/>
      <c r="E518" s="505"/>
      <c r="F518" s="505"/>
      <c r="G518" s="505"/>
      <c r="H518" s="505"/>
      <c r="I518" s="505"/>
      <c r="J518" s="505"/>
      <c r="K518" s="505"/>
      <c r="L518" s="505"/>
      <c r="M518" s="505"/>
      <c r="N518" s="505"/>
      <c r="O518" s="505"/>
      <c r="P518" s="505"/>
      <c r="Q518" s="505"/>
      <c r="R518" s="505"/>
      <c r="S518" s="505"/>
      <c r="T518" s="505"/>
      <c r="U518" s="505"/>
      <c r="V518" s="505"/>
      <c r="W518" s="505"/>
    </row>
    <row r="519" spans="1:23" ht="9.9499999999999993" customHeight="1">
      <c r="A519" s="505"/>
      <c r="B519" s="505"/>
      <c r="C519" s="505"/>
      <c r="D519" s="505"/>
      <c r="E519" s="505"/>
      <c r="F519" s="505"/>
      <c r="G519" s="505"/>
      <c r="H519" s="505"/>
      <c r="I519" s="505"/>
      <c r="J519" s="505"/>
      <c r="K519" s="505"/>
      <c r="L519" s="505"/>
      <c r="M519" s="505"/>
      <c r="N519" s="505"/>
      <c r="O519" s="505"/>
      <c r="P519" s="505"/>
      <c r="Q519" s="505"/>
      <c r="R519" s="505"/>
      <c r="S519" s="505"/>
      <c r="T519" s="505"/>
      <c r="U519" s="505"/>
      <c r="V519" s="505"/>
      <c r="W519" s="505"/>
    </row>
    <row r="520" spans="1:23" ht="9.9499999999999993" customHeight="1">
      <c r="A520" s="505"/>
      <c r="B520" s="505"/>
      <c r="C520" s="505"/>
      <c r="D520" s="505"/>
      <c r="E520" s="505"/>
      <c r="F520" s="505"/>
      <c r="G520" s="505"/>
      <c r="H520" s="505"/>
      <c r="I520" s="505"/>
      <c r="J520" s="505"/>
      <c r="K520" s="505"/>
      <c r="L520" s="505"/>
      <c r="M520" s="505"/>
      <c r="N520" s="505"/>
      <c r="O520" s="505"/>
      <c r="P520" s="505"/>
      <c r="Q520" s="505"/>
      <c r="R520" s="505"/>
      <c r="S520" s="505"/>
      <c r="T520" s="505"/>
      <c r="U520" s="505"/>
      <c r="V520" s="505"/>
      <c r="W520" s="505"/>
    </row>
    <row r="521" spans="1:23" ht="9.9499999999999993" customHeight="1">
      <c r="A521" s="505"/>
      <c r="B521" s="505"/>
      <c r="C521" s="505"/>
      <c r="D521" s="505"/>
      <c r="E521" s="505"/>
      <c r="F521" s="505"/>
      <c r="G521" s="505"/>
      <c r="H521" s="505"/>
      <c r="I521" s="505"/>
      <c r="J521" s="505"/>
      <c r="K521" s="505"/>
      <c r="L521" s="505"/>
      <c r="M521" s="505"/>
      <c r="N521" s="505"/>
      <c r="O521" s="505"/>
      <c r="P521" s="505"/>
      <c r="Q521" s="505"/>
      <c r="R521" s="505"/>
      <c r="S521" s="505"/>
      <c r="T521" s="505"/>
      <c r="U521" s="505"/>
      <c r="V521" s="505"/>
      <c r="W521" s="505"/>
    </row>
    <row r="522" spans="1:23" ht="9.9499999999999993" customHeight="1">
      <c r="A522" s="505"/>
      <c r="B522" s="505"/>
      <c r="C522" s="505"/>
      <c r="D522" s="505"/>
      <c r="E522" s="505"/>
      <c r="F522" s="505"/>
      <c r="G522" s="505"/>
      <c r="H522" s="505"/>
      <c r="I522" s="505"/>
      <c r="J522" s="505"/>
      <c r="K522" s="505"/>
      <c r="L522" s="505"/>
      <c r="M522" s="505"/>
      <c r="N522" s="505"/>
      <c r="O522" s="505"/>
      <c r="P522" s="505"/>
      <c r="Q522" s="505"/>
      <c r="R522" s="505"/>
      <c r="S522" s="505"/>
      <c r="T522" s="505"/>
      <c r="U522" s="505"/>
      <c r="V522" s="505"/>
      <c r="W522" s="505"/>
    </row>
    <row r="523" spans="1:23" ht="9.9499999999999993" customHeight="1">
      <c r="A523" s="505"/>
      <c r="B523" s="505"/>
      <c r="C523" s="505"/>
      <c r="D523" s="505"/>
      <c r="E523" s="505"/>
      <c r="F523" s="505"/>
      <c r="G523" s="505"/>
      <c r="H523" s="505"/>
      <c r="I523" s="505"/>
      <c r="J523" s="505"/>
      <c r="K523" s="505"/>
      <c r="L523" s="505"/>
      <c r="M523" s="505"/>
      <c r="N523" s="505"/>
      <c r="O523" s="505"/>
      <c r="P523" s="505"/>
      <c r="Q523" s="505"/>
      <c r="R523" s="505"/>
      <c r="S523" s="505"/>
      <c r="T523" s="505"/>
      <c r="U523" s="505"/>
      <c r="V523" s="505"/>
      <c r="W523" s="505"/>
    </row>
    <row r="524" spans="1:23" ht="9.9499999999999993" customHeight="1">
      <c r="A524" s="505"/>
      <c r="B524" s="505"/>
      <c r="C524" s="505"/>
      <c r="D524" s="505"/>
      <c r="E524" s="505"/>
      <c r="F524" s="505"/>
      <c r="G524" s="505"/>
      <c r="H524" s="505"/>
      <c r="I524" s="505"/>
      <c r="J524" s="505"/>
      <c r="K524" s="505"/>
      <c r="L524" s="505"/>
      <c r="M524" s="505"/>
      <c r="N524" s="505"/>
      <c r="O524" s="505"/>
      <c r="P524" s="505"/>
      <c r="Q524" s="505"/>
      <c r="R524" s="505"/>
      <c r="S524" s="505"/>
      <c r="T524" s="505"/>
      <c r="U524" s="505"/>
      <c r="V524" s="505"/>
      <c r="W524" s="505"/>
    </row>
    <row r="525" spans="1:23" ht="9.9499999999999993" customHeight="1">
      <c r="A525" s="505"/>
      <c r="B525" s="505"/>
      <c r="C525" s="505"/>
      <c r="D525" s="505"/>
      <c r="E525" s="505"/>
      <c r="F525" s="505"/>
      <c r="G525" s="505"/>
      <c r="H525" s="505"/>
      <c r="I525" s="505"/>
      <c r="J525" s="505"/>
      <c r="K525" s="505"/>
      <c r="L525" s="505"/>
      <c r="M525" s="505"/>
      <c r="N525" s="505"/>
      <c r="O525" s="505"/>
      <c r="P525" s="505"/>
      <c r="Q525" s="505"/>
      <c r="R525" s="505"/>
      <c r="S525" s="505"/>
      <c r="T525" s="505"/>
      <c r="U525" s="505"/>
      <c r="V525" s="505"/>
      <c r="W525" s="505"/>
    </row>
    <row r="526" spans="1:23" ht="9.9499999999999993" customHeight="1">
      <c r="A526" s="505"/>
      <c r="B526" s="505"/>
      <c r="C526" s="505"/>
      <c r="D526" s="505"/>
      <c r="E526" s="505"/>
      <c r="F526" s="505"/>
      <c r="G526" s="505"/>
      <c r="H526" s="505"/>
      <c r="I526" s="505"/>
      <c r="J526" s="505"/>
      <c r="K526" s="505"/>
      <c r="L526" s="505"/>
      <c r="M526" s="505"/>
      <c r="N526" s="505"/>
      <c r="O526" s="505"/>
      <c r="P526" s="505"/>
      <c r="Q526" s="505"/>
      <c r="R526" s="505"/>
      <c r="S526" s="505"/>
      <c r="T526" s="505"/>
      <c r="U526" s="505"/>
      <c r="V526" s="505"/>
      <c r="W526" s="505"/>
    </row>
    <row r="527" spans="1:23" ht="9.9499999999999993" customHeight="1">
      <c r="A527" s="505"/>
      <c r="B527" s="505"/>
      <c r="C527" s="505"/>
      <c r="D527" s="505"/>
      <c r="E527" s="505"/>
      <c r="F527" s="505"/>
      <c r="G527" s="505"/>
      <c r="H527" s="505"/>
      <c r="I527" s="505"/>
      <c r="J527" s="505"/>
      <c r="K527" s="505"/>
      <c r="L527" s="505"/>
      <c r="M527" s="505"/>
      <c r="N527" s="505"/>
      <c r="O527" s="505"/>
      <c r="P527" s="505"/>
      <c r="Q527" s="505"/>
      <c r="R527" s="505"/>
      <c r="S527" s="505"/>
      <c r="T527" s="505"/>
      <c r="U527" s="505"/>
      <c r="V527" s="505"/>
      <c r="W527" s="505"/>
    </row>
    <row r="528" spans="1:23" ht="9.9499999999999993" customHeight="1">
      <c r="A528" s="505"/>
      <c r="B528" s="505"/>
      <c r="C528" s="505"/>
      <c r="D528" s="505"/>
      <c r="E528" s="505"/>
      <c r="F528" s="505"/>
      <c r="G528" s="505"/>
      <c r="H528" s="505"/>
      <c r="I528" s="505"/>
      <c r="J528" s="505"/>
      <c r="K528" s="505"/>
      <c r="L528" s="505"/>
      <c r="M528" s="505"/>
      <c r="N528" s="505"/>
      <c r="O528" s="505"/>
      <c r="P528" s="505"/>
      <c r="Q528" s="505"/>
      <c r="R528" s="505"/>
      <c r="S528" s="505"/>
      <c r="T528" s="505"/>
      <c r="U528" s="505"/>
      <c r="V528" s="505"/>
      <c r="W528" s="505"/>
    </row>
    <row r="529" spans="1:23" ht="9.9499999999999993" customHeight="1">
      <c r="A529" s="505"/>
      <c r="B529" s="505"/>
      <c r="C529" s="505"/>
      <c r="D529" s="505"/>
      <c r="E529" s="505"/>
      <c r="F529" s="505"/>
      <c r="G529" s="505"/>
      <c r="H529" s="505"/>
      <c r="I529" s="505"/>
      <c r="J529" s="505"/>
      <c r="K529" s="505"/>
      <c r="L529" s="505"/>
      <c r="M529" s="505"/>
      <c r="N529" s="505"/>
      <c r="O529" s="505"/>
      <c r="P529" s="505"/>
      <c r="Q529" s="505"/>
      <c r="R529" s="505"/>
      <c r="S529" s="505"/>
      <c r="T529" s="505"/>
      <c r="U529" s="505"/>
      <c r="V529" s="505"/>
      <c r="W529" s="505"/>
    </row>
    <row r="530" spans="1:23" ht="9.9499999999999993" customHeight="1">
      <c r="A530" s="505"/>
      <c r="B530" s="505"/>
      <c r="C530" s="505"/>
      <c r="D530" s="505"/>
      <c r="E530" s="505"/>
      <c r="F530" s="505"/>
      <c r="G530" s="505"/>
      <c r="H530" s="505"/>
      <c r="I530" s="505"/>
      <c r="J530" s="505"/>
      <c r="K530" s="505"/>
      <c r="L530" s="505"/>
      <c r="M530" s="505"/>
      <c r="N530" s="505"/>
      <c r="O530" s="505"/>
      <c r="P530" s="505"/>
      <c r="Q530" s="505"/>
      <c r="R530" s="505"/>
      <c r="S530" s="505"/>
      <c r="T530" s="505"/>
      <c r="U530" s="505"/>
      <c r="V530" s="505"/>
      <c r="W530" s="505"/>
    </row>
    <row r="531" spans="1:23" ht="9.9499999999999993" customHeight="1">
      <c r="A531" s="505"/>
      <c r="B531" s="505"/>
      <c r="C531" s="505"/>
      <c r="D531" s="505"/>
      <c r="E531" s="505"/>
      <c r="F531" s="505"/>
      <c r="G531" s="505"/>
      <c r="H531" s="505"/>
      <c r="I531" s="505"/>
      <c r="J531" s="505"/>
      <c r="K531" s="505"/>
      <c r="L531" s="505"/>
      <c r="M531" s="505"/>
      <c r="N531" s="505"/>
      <c r="O531" s="505"/>
      <c r="P531" s="505"/>
      <c r="Q531" s="505"/>
      <c r="R531" s="505"/>
      <c r="S531" s="505"/>
      <c r="T531" s="505"/>
      <c r="U531" s="505"/>
      <c r="V531" s="505"/>
      <c r="W531" s="505"/>
    </row>
    <row r="532" spans="1:23" ht="9.9499999999999993" customHeight="1">
      <c r="A532" s="505"/>
      <c r="B532" s="505"/>
      <c r="C532" s="505"/>
      <c r="D532" s="505"/>
      <c r="E532" s="505"/>
      <c r="F532" s="505"/>
      <c r="G532" s="505"/>
      <c r="H532" s="505"/>
      <c r="I532" s="505"/>
      <c r="J532" s="505"/>
      <c r="K532" s="505"/>
      <c r="L532" s="505"/>
      <c r="M532" s="505"/>
      <c r="N532" s="505"/>
      <c r="O532" s="505"/>
      <c r="P532" s="505"/>
      <c r="Q532" s="505"/>
      <c r="R532" s="505"/>
      <c r="S532" s="505"/>
      <c r="T532" s="505"/>
      <c r="U532" s="505"/>
      <c r="V532" s="505"/>
      <c r="W532" s="505"/>
    </row>
    <row r="533" spans="1:23" ht="9.9499999999999993" customHeight="1">
      <c r="A533" s="505"/>
      <c r="B533" s="505"/>
      <c r="C533" s="505"/>
      <c r="D533" s="505"/>
      <c r="E533" s="505"/>
      <c r="F533" s="505"/>
      <c r="G533" s="505"/>
      <c r="H533" s="505"/>
      <c r="I533" s="505"/>
      <c r="J533" s="505"/>
      <c r="K533" s="505"/>
      <c r="L533" s="505"/>
      <c r="M533" s="505"/>
      <c r="N533" s="505"/>
      <c r="O533" s="505"/>
      <c r="P533" s="505"/>
      <c r="Q533" s="505"/>
      <c r="R533" s="505"/>
      <c r="S533" s="505"/>
      <c r="T533" s="505"/>
      <c r="U533" s="505"/>
      <c r="V533" s="505"/>
      <c r="W533" s="505"/>
    </row>
    <row r="534" spans="1:23" ht="9.9499999999999993" customHeight="1">
      <c r="A534" s="505"/>
      <c r="B534" s="505"/>
      <c r="C534" s="505"/>
      <c r="D534" s="505"/>
      <c r="E534" s="505"/>
      <c r="F534" s="505"/>
      <c r="G534" s="505"/>
      <c r="H534" s="505"/>
      <c r="I534" s="505"/>
      <c r="J534" s="505"/>
      <c r="K534" s="505"/>
      <c r="L534" s="505"/>
      <c r="M534" s="505"/>
      <c r="N534" s="505"/>
      <c r="O534" s="505"/>
      <c r="P534" s="505"/>
      <c r="Q534" s="505"/>
      <c r="R534" s="505"/>
      <c r="S534" s="505"/>
      <c r="T534" s="505"/>
      <c r="U534" s="505"/>
      <c r="V534" s="505"/>
      <c r="W534" s="505"/>
    </row>
    <row r="535" spans="1:23" ht="9.9499999999999993" customHeight="1">
      <c r="A535" s="505"/>
      <c r="B535" s="505"/>
      <c r="C535" s="505"/>
      <c r="D535" s="505"/>
      <c r="E535" s="505"/>
      <c r="F535" s="505"/>
      <c r="G535" s="505"/>
      <c r="H535" s="505"/>
      <c r="I535" s="505"/>
      <c r="J535" s="505"/>
      <c r="K535" s="505"/>
      <c r="L535" s="505"/>
      <c r="M535" s="505"/>
      <c r="N535" s="505"/>
      <c r="O535" s="505"/>
      <c r="P535" s="505"/>
      <c r="Q535" s="505"/>
      <c r="R535" s="505"/>
      <c r="S535" s="505"/>
      <c r="T535" s="505"/>
      <c r="U535" s="505"/>
      <c r="V535" s="505"/>
      <c r="W535" s="505"/>
    </row>
    <row r="536" spans="1:23" ht="9.9499999999999993" customHeight="1">
      <c r="A536" s="505"/>
      <c r="B536" s="505"/>
      <c r="C536" s="505"/>
      <c r="D536" s="505"/>
      <c r="E536" s="505"/>
      <c r="F536" s="505"/>
      <c r="G536" s="505"/>
      <c r="H536" s="505"/>
      <c r="I536" s="505"/>
      <c r="J536" s="505"/>
      <c r="K536" s="505"/>
      <c r="L536" s="505"/>
      <c r="M536" s="505"/>
      <c r="N536" s="505"/>
      <c r="O536" s="505"/>
      <c r="P536" s="505"/>
      <c r="Q536" s="505"/>
      <c r="R536" s="505"/>
      <c r="S536" s="505"/>
      <c r="T536" s="505"/>
      <c r="U536" s="505"/>
      <c r="V536" s="505"/>
      <c r="W536" s="505"/>
    </row>
    <row r="537" spans="1:23" ht="9.9499999999999993" customHeight="1">
      <c r="A537" s="505"/>
      <c r="B537" s="505"/>
      <c r="C537" s="505"/>
      <c r="D537" s="505"/>
      <c r="E537" s="505"/>
      <c r="F537" s="505"/>
      <c r="G537" s="505"/>
      <c r="H537" s="505"/>
      <c r="I537" s="505"/>
      <c r="J537" s="505"/>
      <c r="K537" s="505"/>
      <c r="L537" s="505"/>
      <c r="M537" s="505"/>
      <c r="N537" s="505"/>
      <c r="O537" s="505"/>
      <c r="P537" s="505"/>
      <c r="Q537" s="505"/>
      <c r="R537" s="505"/>
      <c r="S537" s="505"/>
      <c r="T537" s="505"/>
      <c r="U537" s="505"/>
      <c r="V537" s="505"/>
      <c r="W537" s="505"/>
    </row>
    <row r="538" spans="1:23" ht="9.9499999999999993" customHeight="1">
      <c r="A538" s="505"/>
      <c r="B538" s="505"/>
      <c r="C538" s="505"/>
      <c r="D538" s="505"/>
      <c r="E538" s="505"/>
      <c r="F538" s="505"/>
      <c r="G538" s="505"/>
      <c r="H538" s="505"/>
      <c r="I538" s="505"/>
      <c r="J538" s="505"/>
      <c r="K538" s="505"/>
      <c r="L538" s="505"/>
      <c r="M538" s="505"/>
      <c r="N538" s="505"/>
      <c r="O538" s="505"/>
      <c r="P538" s="505"/>
      <c r="Q538" s="505"/>
      <c r="R538" s="505"/>
      <c r="S538" s="505"/>
      <c r="T538" s="505"/>
      <c r="U538" s="505"/>
      <c r="V538" s="505"/>
      <c r="W538" s="505"/>
    </row>
    <row r="539" spans="1:23" ht="9.9499999999999993" customHeight="1">
      <c r="A539" s="505"/>
      <c r="B539" s="505"/>
      <c r="C539" s="505"/>
      <c r="D539" s="505"/>
      <c r="E539" s="505"/>
      <c r="F539" s="505"/>
      <c r="G539" s="505"/>
      <c r="H539" s="505"/>
      <c r="I539" s="505"/>
      <c r="J539" s="505"/>
      <c r="K539" s="505"/>
      <c r="L539" s="505"/>
      <c r="M539" s="505"/>
      <c r="N539" s="505"/>
      <c r="O539" s="505"/>
      <c r="P539" s="505"/>
      <c r="Q539" s="505"/>
      <c r="R539" s="505"/>
      <c r="S539" s="505"/>
      <c r="T539" s="505"/>
      <c r="U539" s="505"/>
      <c r="V539" s="505"/>
      <c r="W539" s="505"/>
    </row>
    <row r="540" spans="1:23" ht="9.9499999999999993" customHeight="1">
      <c r="A540" s="505"/>
      <c r="B540" s="505"/>
      <c r="C540" s="505"/>
      <c r="D540" s="505"/>
      <c r="E540" s="505"/>
      <c r="F540" s="505"/>
      <c r="G540" s="505"/>
      <c r="H540" s="505"/>
      <c r="I540" s="505"/>
      <c r="J540" s="505"/>
      <c r="K540" s="505"/>
      <c r="L540" s="505"/>
      <c r="M540" s="505"/>
      <c r="N540" s="505"/>
      <c r="O540" s="505"/>
      <c r="P540" s="505"/>
      <c r="Q540" s="505"/>
      <c r="R540" s="505"/>
      <c r="S540" s="505"/>
      <c r="T540" s="505"/>
      <c r="U540" s="505"/>
      <c r="V540" s="505"/>
      <c r="W540" s="505"/>
    </row>
    <row r="541" spans="1:23" ht="9.9499999999999993" customHeight="1">
      <c r="A541" s="505"/>
      <c r="B541" s="505"/>
      <c r="C541" s="505"/>
      <c r="D541" s="505"/>
      <c r="E541" s="505"/>
      <c r="F541" s="505"/>
      <c r="G541" s="505"/>
      <c r="H541" s="505"/>
      <c r="I541" s="505"/>
      <c r="J541" s="505"/>
      <c r="K541" s="505"/>
      <c r="L541" s="505"/>
      <c r="M541" s="505"/>
      <c r="N541" s="505"/>
      <c r="O541" s="505"/>
      <c r="P541" s="505"/>
      <c r="Q541" s="505"/>
      <c r="R541" s="505"/>
      <c r="S541" s="505"/>
      <c r="T541" s="505"/>
      <c r="U541" s="505"/>
      <c r="V541" s="505"/>
      <c r="W541" s="505"/>
    </row>
    <row r="542" spans="1:23" ht="9.9499999999999993" customHeight="1">
      <c r="A542" s="505"/>
      <c r="B542" s="505"/>
      <c r="C542" s="505"/>
      <c r="D542" s="505"/>
      <c r="E542" s="505"/>
      <c r="F542" s="505"/>
      <c r="G542" s="505"/>
      <c r="H542" s="505"/>
      <c r="I542" s="505"/>
      <c r="J542" s="505"/>
      <c r="K542" s="505"/>
      <c r="L542" s="505"/>
      <c r="M542" s="505"/>
      <c r="N542" s="505"/>
      <c r="O542" s="505"/>
      <c r="P542" s="505"/>
      <c r="Q542" s="505"/>
      <c r="R542" s="505"/>
      <c r="S542" s="505"/>
      <c r="T542" s="505"/>
      <c r="U542" s="505"/>
      <c r="V542" s="505"/>
      <c r="W542" s="505"/>
    </row>
    <row r="543" spans="1:23" ht="9.9499999999999993" customHeight="1">
      <c r="A543" s="505"/>
      <c r="B543" s="505"/>
      <c r="C543" s="505"/>
      <c r="D543" s="505"/>
      <c r="E543" s="505"/>
      <c r="F543" s="505"/>
      <c r="G543" s="505"/>
      <c r="H543" s="505"/>
      <c r="I543" s="505"/>
      <c r="J543" s="505"/>
      <c r="K543" s="505"/>
      <c r="L543" s="505"/>
      <c r="M543" s="505"/>
      <c r="N543" s="505"/>
      <c r="O543" s="505"/>
      <c r="P543" s="505"/>
      <c r="Q543" s="505"/>
      <c r="R543" s="505"/>
      <c r="S543" s="505"/>
      <c r="T543" s="505"/>
      <c r="U543" s="505"/>
      <c r="V543" s="505"/>
      <c r="W543" s="505"/>
    </row>
    <row r="544" spans="1:23" ht="9.9499999999999993" customHeight="1">
      <c r="A544" s="505"/>
      <c r="B544" s="505"/>
      <c r="C544" s="505"/>
      <c r="D544" s="505"/>
      <c r="E544" s="505"/>
      <c r="F544" s="505"/>
      <c r="G544" s="505"/>
      <c r="H544" s="505"/>
      <c r="I544" s="505"/>
      <c r="J544" s="505"/>
      <c r="K544" s="505"/>
      <c r="L544" s="505"/>
      <c r="M544" s="505"/>
      <c r="N544" s="505"/>
      <c r="O544" s="505"/>
      <c r="P544" s="505"/>
      <c r="Q544" s="505"/>
      <c r="R544" s="505"/>
      <c r="S544" s="505"/>
      <c r="T544" s="505"/>
      <c r="U544" s="505"/>
      <c r="V544" s="505"/>
      <c r="W544" s="505"/>
    </row>
    <row r="545" spans="1:23" ht="9.9499999999999993" customHeight="1">
      <c r="A545" s="505"/>
      <c r="B545" s="505"/>
      <c r="C545" s="505"/>
      <c r="D545" s="505"/>
      <c r="E545" s="505"/>
      <c r="F545" s="505"/>
      <c r="G545" s="505"/>
      <c r="H545" s="505"/>
      <c r="I545" s="505"/>
      <c r="J545" s="505"/>
      <c r="K545" s="505"/>
      <c r="L545" s="505"/>
      <c r="M545" s="505"/>
      <c r="N545" s="505"/>
      <c r="O545" s="505"/>
      <c r="P545" s="505"/>
      <c r="Q545" s="505"/>
      <c r="R545" s="505"/>
      <c r="S545" s="505"/>
      <c r="T545" s="505"/>
      <c r="U545" s="505"/>
      <c r="V545" s="505"/>
      <c r="W545" s="505"/>
    </row>
    <row r="546" spans="1:23" ht="9.9499999999999993" customHeight="1">
      <c r="A546" s="505"/>
      <c r="B546" s="505"/>
      <c r="C546" s="505"/>
      <c r="D546" s="505"/>
      <c r="E546" s="505"/>
      <c r="F546" s="505"/>
      <c r="G546" s="505"/>
      <c r="H546" s="505"/>
      <c r="I546" s="505"/>
      <c r="J546" s="505"/>
      <c r="K546" s="505"/>
      <c r="L546" s="505"/>
      <c r="M546" s="505"/>
      <c r="N546" s="505"/>
      <c r="O546" s="505"/>
      <c r="P546" s="505"/>
      <c r="Q546" s="505"/>
      <c r="R546" s="505"/>
      <c r="S546" s="505"/>
      <c r="T546" s="505"/>
      <c r="U546" s="505"/>
      <c r="V546" s="505"/>
      <c r="W546" s="505"/>
    </row>
    <row r="547" spans="1:23" ht="9.9499999999999993" customHeight="1">
      <c r="A547" s="505"/>
      <c r="B547" s="505"/>
      <c r="C547" s="505"/>
      <c r="D547" s="505"/>
      <c r="E547" s="505"/>
      <c r="F547" s="505"/>
      <c r="G547" s="505"/>
      <c r="H547" s="505"/>
      <c r="I547" s="505"/>
      <c r="J547" s="505"/>
      <c r="K547" s="505"/>
      <c r="L547" s="505"/>
      <c r="M547" s="505"/>
      <c r="N547" s="505"/>
      <c r="O547" s="505"/>
      <c r="P547" s="505"/>
      <c r="Q547" s="505"/>
      <c r="R547" s="505"/>
      <c r="S547" s="505"/>
      <c r="T547" s="505"/>
      <c r="U547" s="505"/>
      <c r="V547" s="505"/>
      <c r="W547" s="505"/>
    </row>
    <row r="548" spans="1:23" ht="9.9499999999999993" customHeight="1">
      <c r="A548" s="505"/>
      <c r="B548" s="505"/>
      <c r="C548" s="505"/>
      <c r="D548" s="505"/>
      <c r="E548" s="505"/>
      <c r="F548" s="505"/>
      <c r="G548" s="505"/>
      <c r="H548" s="505"/>
      <c r="I548" s="505"/>
      <c r="J548" s="505"/>
      <c r="K548" s="505"/>
      <c r="L548" s="505"/>
      <c r="M548" s="505"/>
      <c r="N548" s="505"/>
      <c r="O548" s="505"/>
      <c r="P548" s="505"/>
      <c r="Q548" s="505"/>
      <c r="R548" s="505"/>
      <c r="S548" s="505"/>
      <c r="T548" s="505"/>
      <c r="U548" s="505"/>
      <c r="V548" s="505"/>
      <c r="W548" s="505"/>
    </row>
    <row r="549" spans="1:23" ht="9.9499999999999993" customHeight="1">
      <c r="A549" s="505"/>
      <c r="B549" s="505"/>
      <c r="C549" s="505"/>
      <c r="D549" s="505"/>
      <c r="E549" s="505"/>
      <c r="F549" s="505"/>
      <c r="G549" s="505"/>
      <c r="H549" s="505"/>
      <c r="I549" s="505"/>
      <c r="J549" s="505"/>
      <c r="K549" s="505"/>
      <c r="L549" s="505"/>
      <c r="M549" s="505"/>
      <c r="N549" s="505"/>
      <c r="O549" s="505"/>
      <c r="P549" s="505"/>
      <c r="Q549" s="505"/>
      <c r="R549" s="505"/>
      <c r="S549" s="505"/>
      <c r="T549" s="505"/>
      <c r="U549" s="505"/>
      <c r="V549" s="505"/>
      <c r="W549" s="505"/>
    </row>
    <row r="550" spans="1:23" ht="9.9499999999999993" customHeight="1">
      <c r="A550" s="505"/>
      <c r="B550" s="505"/>
      <c r="C550" s="505"/>
      <c r="D550" s="505"/>
      <c r="E550" s="505"/>
      <c r="F550" s="505"/>
      <c r="G550" s="505"/>
      <c r="H550" s="505"/>
      <c r="I550" s="505"/>
      <c r="J550" s="505"/>
      <c r="K550" s="505"/>
      <c r="L550" s="505"/>
      <c r="M550" s="505"/>
      <c r="N550" s="505"/>
      <c r="O550" s="505"/>
      <c r="P550" s="505"/>
      <c r="Q550" s="505"/>
      <c r="R550" s="505"/>
      <c r="S550" s="505"/>
      <c r="T550" s="505"/>
      <c r="U550" s="505"/>
      <c r="V550" s="505"/>
      <c r="W550" s="505"/>
    </row>
    <row r="551" spans="1:23" ht="9.9499999999999993" customHeight="1">
      <c r="A551" s="505"/>
      <c r="B551" s="505"/>
      <c r="C551" s="505"/>
      <c r="D551" s="505"/>
      <c r="E551" s="505"/>
      <c r="F551" s="505"/>
      <c r="G551" s="505"/>
      <c r="H551" s="505"/>
      <c r="I551" s="505"/>
      <c r="J551" s="505"/>
      <c r="K551" s="505"/>
      <c r="L551" s="505"/>
      <c r="M551" s="505"/>
      <c r="N551" s="505"/>
      <c r="O551" s="505"/>
      <c r="P551" s="505"/>
      <c r="Q551" s="505"/>
      <c r="R551" s="505"/>
      <c r="S551" s="505"/>
      <c r="T551" s="505"/>
      <c r="U551" s="505"/>
      <c r="V551" s="505"/>
      <c r="W551" s="505"/>
    </row>
    <row r="552" spans="1:23" ht="9.9499999999999993" customHeight="1">
      <c r="A552" s="505"/>
      <c r="B552" s="505"/>
      <c r="C552" s="505"/>
      <c r="D552" s="505"/>
      <c r="E552" s="505"/>
      <c r="F552" s="505"/>
      <c r="G552" s="505"/>
      <c r="H552" s="505"/>
      <c r="I552" s="505"/>
      <c r="J552" s="505"/>
      <c r="K552" s="505"/>
      <c r="L552" s="505"/>
      <c r="M552" s="505"/>
      <c r="N552" s="505"/>
      <c r="O552" s="505"/>
      <c r="P552" s="505"/>
      <c r="Q552" s="505"/>
      <c r="R552" s="505"/>
      <c r="S552" s="505"/>
      <c r="T552" s="505"/>
      <c r="U552" s="505"/>
      <c r="V552" s="505"/>
      <c r="W552" s="505"/>
    </row>
    <row r="553" spans="1:23" ht="9.9499999999999993" customHeight="1">
      <c r="A553" s="505"/>
      <c r="B553" s="505"/>
      <c r="C553" s="505"/>
      <c r="D553" s="505"/>
      <c r="E553" s="505"/>
      <c r="F553" s="505"/>
      <c r="G553" s="505"/>
      <c r="H553" s="505"/>
      <c r="I553" s="505"/>
      <c r="J553" s="505"/>
      <c r="K553" s="505"/>
      <c r="L553" s="505"/>
      <c r="M553" s="505"/>
      <c r="N553" s="505"/>
      <c r="O553" s="505"/>
      <c r="P553" s="505"/>
      <c r="Q553" s="505"/>
      <c r="R553" s="505"/>
      <c r="S553" s="505"/>
      <c r="T553" s="505"/>
      <c r="U553" s="505"/>
      <c r="V553" s="505"/>
      <c r="W553" s="505"/>
    </row>
    <row r="554" spans="1:23" ht="9.9499999999999993" customHeight="1">
      <c r="A554" s="505"/>
      <c r="B554" s="505"/>
      <c r="C554" s="505"/>
      <c r="D554" s="505"/>
      <c r="E554" s="505"/>
      <c r="F554" s="505"/>
      <c r="G554" s="505"/>
      <c r="H554" s="505"/>
      <c r="I554" s="505"/>
      <c r="J554" s="505"/>
      <c r="K554" s="505"/>
      <c r="L554" s="505"/>
      <c r="M554" s="505"/>
      <c r="N554" s="505"/>
      <c r="O554" s="505"/>
      <c r="P554" s="505"/>
      <c r="Q554" s="505"/>
      <c r="R554" s="505"/>
      <c r="S554" s="505"/>
      <c r="T554" s="505"/>
      <c r="U554" s="505"/>
      <c r="V554" s="505"/>
      <c r="W554" s="505"/>
    </row>
    <row r="555" spans="1:23" ht="9.9499999999999993" customHeight="1">
      <c r="A555" s="505"/>
      <c r="B555" s="505"/>
      <c r="C555" s="505"/>
      <c r="D555" s="505"/>
      <c r="E555" s="505"/>
      <c r="F555" s="505"/>
      <c r="G555" s="505"/>
      <c r="H555" s="505"/>
      <c r="I555" s="505"/>
      <c r="J555" s="505"/>
      <c r="K555" s="505"/>
      <c r="L555" s="505"/>
      <c r="M555" s="505"/>
      <c r="N555" s="505"/>
      <c r="O555" s="505"/>
      <c r="P555" s="505"/>
      <c r="Q555" s="505"/>
      <c r="R555" s="505"/>
      <c r="S555" s="505"/>
      <c r="T555" s="505"/>
      <c r="U555" s="505"/>
      <c r="V555" s="505"/>
      <c r="W555" s="505"/>
    </row>
    <row r="556" spans="1:23" ht="9.9499999999999993" customHeight="1">
      <c r="A556" s="505"/>
      <c r="B556" s="505"/>
      <c r="C556" s="505"/>
      <c r="D556" s="505"/>
      <c r="E556" s="505"/>
      <c r="F556" s="505"/>
      <c r="G556" s="505"/>
      <c r="H556" s="505"/>
      <c r="I556" s="505"/>
      <c r="J556" s="505"/>
      <c r="K556" s="505"/>
      <c r="L556" s="505"/>
      <c r="M556" s="505"/>
      <c r="N556" s="505"/>
      <c r="O556" s="505"/>
      <c r="P556" s="505"/>
      <c r="Q556" s="505"/>
      <c r="R556" s="505"/>
      <c r="S556" s="505"/>
      <c r="T556" s="505"/>
      <c r="U556" s="505"/>
      <c r="V556" s="505"/>
      <c r="W556" s="505"/>
    </row>
    <row r="557" spans="1:23" ht="9.9499999999999993" customHeight="1">
      <c r="A557" s="505"/>
      <c r="B557" s="505"/>
      <c r="C557" s="505"/>
      <c r="D557" s="505"/>
      <c r="E557" s="505"/>
      <c r="F557" s="505"/>
      <c r="G557" s="505"/>
      <c r="H557" s="505"/>
      <c r="I557" s="505"/>
      <c r="J557" s="505"/>
      <c r="K557" s="505"/>
      <c r="L557" s="505"/>
      <c r="M557" s="505"/>
      <c r="N557" s="505"/>
      <c r="O557" s="505"/>
      <c r="P557" s="505"/>
      <c r="Q557" s="505"/>
      <c r="R557" s="505"/>
      <c r="S557" s="505"/>
      <c r="T557" s="505"/>
      <c r="U557" s="505"/>
      <c r="V557" s="505"/>
      <c r="W557" s="505"/>
    </row>
    <row r="558" spans="1:23" ht="9.9499999999999993" customHeight="1">
      <c r="A558" s="505"/>
      <c r="B558" s="505"/>
      <c r="C558" s="505"/>
      <c r="D558" s="505"/>
      <c r="E558" s="505"/>
      <c r="F558" s="505"/>
      <c r="G558" s="505"/>
      <c r="H558" s="505"/>
      <c r="I558" s="505"/>
      <c r="J558" s="505"/>
      <c r="K558" s="505"/>
      <c r="L558" s="505"/>
      <c r="M558" s="505"/>
      <c r="N558" s="505"/>
      <c r="O558" s="505"/>
      <c r="P558" s="505"/>
      <c r="Q558" s="505"/>
      <c r="R558" s="505"/>
      <c r="S558" s="505"/>
      <c r="T558" s="505"/>
      <c r="U558" s="505"/>
      <c r="V558" s="505"/>
      <c r="W558" s="505"/>
    </row>
    <row r="559" spans="1:23" ht="9.9499999999999993" customHeight="1">
      <c r="A559" s="505"/>
      <c r="B559" s="505"/>
      <c r="C559" s="505"/>
      <c r="D559" s="505"/>
      <c r="E559" s="505"/>
      <c r="F559" s="505"/>
      <c r="G559" s="505"/>
      <c r="H559" s="505"/>
      <c r="I559" s="505"/>
      <c r="J559" s="505"/>
      <c r="K559" s="505"/>
      <c r="L559" s="505"/>
      <c r="M559" s="505"/>
      <c r="N559" s="505"/>
      <c r="O559" s="505"/>
      <c r="P559" s="505"/>
      <c r="Q559" s="505"/>
      <c r="R559" s="505"/>
      <c r="S559" s="505"/>
      <c r="T559" s="505"/>
      <c r="U559" s="505"/>
      <c r="V559" s="505"/>
      <c r="W559" s="505"/>
    </row>
    <row r="560" spans="1:23" ht="9.9499999999999993" customHeight="1">
      <c r="A560" s="505"/>
      <c r="B560" s="505"/>
      <c r="C560" s="505"/>
      <c r="D560" s="505"/>
      <c r="E560" s="505"/>
      <c r="F560" s="505"/>
      <c r="G560" s="505"/>
      <c r="H560" s="505"/>
      <c r="I560" s="505"/>
      <c r="J560" s="505"/>
      <c r="K560" s="505"/>
      <c r="L560" s="505"/>
      <c r="M560" s="505"/>
      <c r="N560" s="505"/>
      <c r="O560" s="505"/>
      <c r="P560" s="505"/>
      <c r="Q560" s="505"/>
      <c r="R560" s="505"/>
      <c r="S560" s="505"/>
      <c r="T560" s="505"/>
      <c r="U560" s="505"/>
      <c r="V560" s="505"/>
      <c r="W560" s="505"/>
    </row>
    <row r="561" spans="1:23" ht="9.9499999999999993" customHeight="1">
      <c r="A561" s="505"/>
      <c r="B561" s="505"/>
      <c r="C561" s="505"/>
      <c r="D561" s="505"/>
      <c r="E561" s="505"/>
      <c r="F561" s="505"/>
      <c r="G561" s="505"/>
      <c r="H561" s="505"/>
      <c r="I561" s="505"/>
      <c r="J561" s="505"/>
      <c r="K561" s="505"/>
      <c r="L561" s="505"/>
      <c r="M561" s="505"/>
      <c r="N561" s="505"/>
      <c r="O561" s="505"/>
      <c r="P561" s="505"/>
      <c r="Q561" s="505"/>
      <c r="R561" s="505"/>
      <c r="S561" s="505"/>
      <c r="T561" s="505"/>
      <c r="U561" s="505"/>
      <c r="V561" s="505"/>
      <c r="W561" s="505"/>
    </row>
    <row r="562" spans="1:23" ht="9.9499999999999993" customHeight="1">
      <c r="A562" s="505"/>
      <c r="B562" s="505"/>
      <c r="C562" s="505"/>
      <c r="D562" s="505"/>
      <c r="E562" s="505"/>
      <c r="F562" s="505"/>
      <c r="G562" s="505"/>
      <c r="H562" s="505"/>
      <c r="I562" s="505"/>
      <c r="J562" s="505"/>
      <c r="K562" s="505"/>
      <c r="L562" s="505"/>
      <c r="M562" s="505"/>
      <c r="N562" s="505"/>
      <c r="O562" s="505"/>
      <c r="P562" s="505"/>
      <c r="Q562" s="505"/>
      <c r="R562" s="505"/>
      <c r="S562" s="505"/>
      <c r="T562" s="505"/>
      <c r="U562" s="505"/>
      <c r="V562" s="505"/>
      <c r="W562" s="505"/>
    </row>
    <row r="563" spans="1:23" ht="9.9499999999999993" customHeight="1">
      <c r="A563" s="505"/>
      <c r="B563" s="505"/>
      <c r="C563" s="505"/>
      <c r="D563" s="505"/>
      <c r="E563" s="505"/>
      <c r="F563" s="505"/>
      <c r="G563" s="505"/>
      <c r="H563" s="505"/>
      <c r="I563" s="505"/>
      <c r="J563" s="505"/>
      <c r="K563" s="505"/>
      <c r="L563" s="505"/>
      <c r="M563" s="505"/>
      <c r="N563" s="505"/>
      <c r="O563" s="505"/>
      <c r="P563" s="505"/>
      <c r="Q563" s="505"/>
      <c r="R563" s="505"/>
      <c r="S563" s="505"/>
      <c r="T563" s="505"/>
      <c r="U563" s="505"/>
      <c r="V563" s="505"/>
      <c r="W563" s="505"/>
    </row>
    <row r="564" spans="1:23" ht="9.9499999999999993" customHeight="1">
      <c r="A564" s="505"/>
      <c r="B564" s="505"/>
      <c r="C564" s="505"/>
      <c r="D564" s="505"/>
      <c r="E564" s="505"/>
      <c r="F564" s="505"/>
      <c r="G564" s="505"/>
      <c r="H564" s="505"/>
      <c r="I564" s="505"/>
      <c r="J564" s="505"/>
      <c r="K564" s="505"/>
      <c r="L564" s="505"/>
      <c r="M564" s="505"/>
      <c r="N564" s="505"/>
      <c r="O564" s="505"/>
      <c r="P564" s="505"/>
      <c r="Q564" s="505"/>
      <c r="R564" s="505"/>
      <c r="S564" s="505"/>
      <c r="T564" s="505"/>
      <c r="U564" s="505"/>
      <c r="V564" s="505"/>
      <c r="W564" s="505"/>
    </row>
    <row r="565" spans="1:23" ht="9.9499999999999993" customHeight="1">
      <c r="A565" s="505"/>
      <c r="B565" s="505"/>
      <c r="C565" s="505"/>
      <c r="D565" s="505"/>
      <c r="E565" s="505"/>
      <c r="F565" s="505"/>
      <c r="G565" s="505"/>
      <c r="H565" s="505"/>
      <c r="I565" s="505"/>
      <c r="J565" s="505"/>
      <c r="K565" s="505"/>
      <c r="L565" s="505"/>
      <c r="M565" s="505"/>
      <c r="N565" s="505"/>
      <c r="O565" s="505"/>
      <c r="P565" s="505"/>
      <c r="Q565" s="505"/>
      <c r="R565" s="505"/>
      <c r="S565" s="505"/>
      <c r="T565" s="505"/>
      <c r="U565" s="505"/>
      <c r="V565" s="505"/>
      <c r="W565" s="505"/>
    </row>
    <row r="566" spans="1:23" ht="9.9499999999999993" customHeight="1">
      <c r="A566" s="505"/>
      <c r="B566" s="505"/>
      <c r="C566" s="505"/>
      <c r="D566" s="505"/>
      <c r="E566" s="505"/>
      <c r="F566" s="505"/>
      <c r="G566" s="505"/>
      <c r="H566" s="505"/>
      <c r="I566" s="505"/>
      <c r="J566" s="505"/>
      <c r="K566" s="505"/>
      <c r="L566" s="505"/>
      <c r="M566" s="505"/>
      <c r="N566" s="505"/>
      <c r="O566" s="505"/>
      <c r="P566" s="505"/>
      <c r="Q566" s="505"/>
      <c r="R566" s="505"/>
      <c r="S566" s="505"/>
      <c r="T566" s="505"/>
      <c r="U566" s="505"/>
      <c r="V566" s="505"/>
      <c r="W566" s="505"/>
    </row>
    <row r="567" spans="1:23" ht="9.9499999999999993" customHeight="1">
      <c r="A567" s="505"/>
      <c r="B567" s="505"/>
      <c r="C567" s="505"/>
      <c r="D567" s="505"/>
      <c r="E567" s="505"/>
      <c r="F567" s="505"/>
      <c r="G567" s="505"/>
      <c r="H567" s="505"/>
      <c r="I567" s="505"/>
      <c r="J567" s="505"/>
      <c r="K567" s="505"/>
      <c r="L567" s="505"/>
      <c r="M567" s="505"/>
      <c r="N567" s="505"/>
      <c r="O567" s="505"/>
      <c r="P567" s="505"/>
      <c r="Q567" s="505"/>
      <c r="R567" s="505"/>
      <c r="S567" s="505"/>
      <c r="T567" s="505"/>
      <c r="U567" s="505"/>
      <c r="V567" s="505"/>
      <c r="W567" s="505"/>
    </row>
    <row r="568" spans="1:23" ht="9.9499999999999993" customHeight="1">
      <c r="A568" s="505"/>
      <c r="B568" s="505"/>
      <c r="C568" s="505"/>
      <c r="D568" s="505"/>
      <c r="E568" s="505"/>
      <c r="F568" s="505"/>
      <c r="G568" s="505"/>
      <c r="H568" s="505"/>
      <c r="I568" s="505"/>
      <c r="J568" s="505"/>
      <c r="K568" s="505"/>
      <c r="L568" s="505"/>
      <c r="M568" s="505"/>
      <c r="N568" s="505"/>
      <c r="O568" s="505"/>
      <c r="P568" s="505"/>
      <c r="Q568" s="505"/>
      <c r="R568" s="505"/>
      <c r="S568" s="505"/>
      <c r="T568" s="505"/>
      <c r="U568" s="505"/>
      <c r="V568" s="505"/>
      <c r="W568" s="505"/>
    </row>
    <row r="569" spans="1:23" ht="9.9499999999999993" customHeight="1">
      <c r="A569" s="505"/>
      <c r="B569" s="505"/>
      <c r="C569" s="505"/>
      <c r="D569" s="505"/>
      <c r="E569" s="505"/>
      <c r="F569" s="505"/>
      <c r="G569" s="505"/>
      <c r="H569" s="505"/>
      <c r="I569" s="505"/>
      <c r="J569" s="505"/>
      <c r="K569" s="505"/>
      <c r="L569" s="505"/>
      <c r="M569" s="505"/>
      <c r="N569" s="505"/>
      <c r="O569" s="505"/>
      <c r="P569" s="505"/>
      <c r="Q569" s="505"/>
      <c r="R569" s="505"/>
      <c r="S569" s="505"/>
      <c r="T569" s="505"/>
      <c r="U569" s="505"/>
      <c r="V569" s="505"/>
      <c r="W569" s="505"/>
    </row>
    <row r="570" spans="1:23" ht="9.9499999999999993" customHeight="1">
      <c r="A570" s="505"/>
      <c r="B570" s="505"/>
      <c r="C570" s="505"/>
      <c r="D570" s="505"/>
      <c r="E570" s="505"/>
      <c r="F570" s="505"/>
      <c r="G570" s="505"/>
      <c r="H570" s="505"/>
      <c r="I570" s="505"/>
      <c r="J570" s="505"/>
      <c r="K570" s="505"/>
      <c r="L570" s="505"/>
      <c r="M570" s="505"/>
      <c r="N570" s="505"/>
      <c r="O570" s="505"/>
      <c r="P570" s="505"/>
      <c r="Q570" s="505"/>
      <c r="R570" s="505"/>
      <c r="S570" s="505"/>
      <c r="T570" s="505"/>
      <c r="U570" s="505"/>
      <c r="V570" s="505"/>
      <c r="W570" s="505"/>
    </row>
    <row r="571" spans="1:23" ht="9.9499999999999993" customHeight="1">
      <c r="A571" s="505"/>
      <c r="B571" s="505"/>
      <c r="C571" s="505"/>
      <c r="D571" s="505"/>
      <c r="E571" s="505"/>
      <c r="F571" s="505"/>
      <c r="G571" s="505"/>
      <c r="H571" s="505"/>
      <c r="I571" s="505"/>
      <c r="J571" s="505"/>
      <c r="K571" s="505"/>
      <c r="L571" s="505"/>
      <c r="M571" s="505"/>
      <c r="N571" s="505"/>
      <c r="O571" s="505"/>
      <c r="P571" s="505"/>
      <c r="Q571" s="505"/>
      <c r="R571" s="505"/>
      <c r="S571" s="505"/>
      <c r="T571" s="505"/>
      <c r="U571" s="505"/>
      <c r="V571" s="505"/>
      <c r="W571" s="505"/>
    </row>
    <row r="572" spans="1:23" ht="9.9499999999999993" customHeight="1">
      <c r="A572" s="505"/>
      <c r="B572" s="505"/>
      <c r="C572" s="505"/>
      <c r="D572" s="505"/>
      <c r="E572" s="505"/>
      <c r="F572" s="505"/>
      <c r="G572" s="505"/>
      <c r="H572" s="505"/>
      <c r="I572" s="505"/>
      <c r="J572" s="505"/>
      <c r="K572" s="505"/>
      <c r="L572" s="505"/>
      <c r="M572" s="505"/>
      <c r="N572" s="505"/>
      <c r="O572" s="505"/>
      <c r="P572" s="505"/>
      <c r="Q572" s="505"/>
      <c r="R572" s="505"/>
      <c r="S572" s="505"/>
      <c r="T572" s="505"/>
      <c r="U572" s="505"/>
      <c r="V572" s="505"/>
      <c r="W572" s="505"/>
    </row>
    <row r="573" spans="1:23" ht="9.9499999999999993" customHeight="1">
      <c r="A573" s="505"/>
      <c r="B573" s="505"/>
      <c r="C573" s="505"/>
      <c r="D573" s="505"/>
      <c r="E573" s="505"/>
      <c r="F573" s="505"/>
      <c r="G573" s="505"/>
      <c r="H573" s="505"/>
      <c r="I573" s="505"/>
      <c r="J573" s="505"/>
      <c r="K573" s="505"/>
      <c r="L573" s="505"/>
      <c r="M573" s="505"/>
      <c r="N573" s="505"/>
      <c r="O573" s="505"/>
      <c r="P573" s="505"/>
      <c r="Q573" s="505"/>
      <c r="R573" s="505"/>
      <c r="S573" s="505"/>
      <c r="T573" s="505"/>
      <c r="U573" s="505"/>
      <c r="V573" s="505"/>
      <c r="W573" s="505"/>
    </row>
    <row r="574" spans="1:23" ht="9.9499999999999993" customHeight="1">
      <c r="A574" s="505"/>
      <c r="B574" s="505"/>
      <c r="C574" s="505"/>
      <c r="D574" s="505"/>
      <c r="E574" s="505"/>
      <c r="F574" s="505"/>
      <c r="G574" s="505"/>
      <c r="H574" s="505"/>
      <c r="I574" s="505"/>
      <c r="J574" s="505"/>
      <c r="K574" s="505"/>
      <c r="L574" s="505"/>
      <c r="M574" s="505"/>
      <c r="N574" s="505"/>
      <c r="O574" s="505"/>
      <c r="P574" s="505"/>
      <c r="Q574" s="505"/>
      <c r="R574" s="505"/>
      <c r="S574" s="505"/>
      <c r="T574" s="505"/>
      <c r="U574" s="505"/>
      <c r="V574" s="505"/>
      <c r="W574" s="505"/>
    </row>
    <row r="575" spans="1:23" ht="9.9499999999999993" customHeight="1">
      <c r="A575" s="505"/>
      <c r="B575" s="505"/>
      <c r="C575" s="505"/>
      <c r="D575" s="505"/>
      <c r="E575" s="505"/>
      <c r="F575" s="505"/>
      <c r="G575" s="505"/>
      <c r="H575" s="505"/>
      <c r="I575" s="505"/>
      <c r="J575" s="505"/>
      <c r="K575" s="505"/>
      <c r="L575" s="505"/>
      <c r="M575" s="505"/>
      <c r="N575" s="505"/>
      <c r="O575" s="505"/>
      <c r="P575" s="505"/>
      <c r="Q575" s="505"/>
      <c r="R575" s="505"/>
      <c r="S575" s="505"/>
      <c r="T575" s="505"/>
      <c r="U575" s="505"/>
      <c r="V575" s="505"/>
      <c r="W575" s="505"/>
    </row>
    <row r="576" spans="1:23" ht="9.9499999999999993" customHeight="1">
      <c r="A576" s="505"/>
      <c r="B576" s="505"/>
      <c r="C576" s="505"/>
      <c r="D576" s="505"/>
      <c r="E576" s="505"/>
      <c r="F576" s="505"/>
      <c r="G576" s="505"/>
      <c r="H576" s="505"/>
      <c r="I576" s="505"/>
      <c r="J576" s="505"/>
      <c r="K576" s="505"/>
      <c r="L576" s="505"/>
      <c r="M576" s="505"/>
      <c r="N576" s="505"/>
      <c r="O576" s="505"/>
      <c r="P576" s="505"/>
      <c r="Q576" s="505"/>
      <c r="R576" s="505"/>
      <c r="S576" s="505"/>
      <c r="T576" s="505"/>
      <c r="U576" s="505"/>
      <c r="V576" s="505"/>
      <c r="W576" s="505"/>
    </row>
    <row r="577" spans="1:23" ht="9.9499999999999993" customHeight="1">
      <c r="A577" s="505"/>
      <c r="B577" s="505"/>
      <c r="C577" s="505"/>
      <c r="D577" s="505"/>
      <c r="E577" s="505"/>
      <c r="F577" s="505"/>
      <c r="G577" s="505"/>
      <c r="H577" s="505"/>
      <c r="I577" s="505"/>
      <c r="J577" s="505"/>
      <c r="K577" s="505"/>
      <c r="L577" s="505"/>
      <c r="M577" s="505"/>
      <c r="N577" s="505"/>
      <c r="O577" s="505"/>
      <c r="P577" s="505"/>
      <c r="Q577" s="505"/>
      <c r="R577" s="505"/>
      <c r="S577" s="505"/>
      <c r="T577" s="505"/>
      <c r="U577" s="505"/>
      <c r="V577" s="505"/>
      <c r="W577" s="505"/>
    </row>
    <row r="578" spans="1:23" ht="9.9499999999999993" customHeight="1">
      <c r="A578" s="505"/>
      <c r="B578" s="505"/>
      <c r="C578" s="505"/>
      <c r="D578" s="505"/>
      <c r="E578" s="505"/>
      <c r="F578" s="505"/>
      <c r="G578" s="505"/>
      <c r="H578" s="505"/>
      <c r="I578" s="505"/>
      <c r="J578" s="505"/>
      <c r="K578" s="505"/>
      <c r="L578" s="505"/>
      <c r="M578" s="505"/>
      <c r="N578" s="505"/>
      <c r="O578" s="505"/>
      <c r="P578" s="505"/>
      <c r="Q578" s="505"/>
      <c r="R578" s="505"/>
      <c r="S578" s="505"/>
      <c r="T578" s="505"/>
      <c r="U578" s="505"/>
      <c r="V578" s="505"/>
      <c r="W578" s="505"/>
    </row>
    <row r="579" spans="1:23" ht="9.9499999999999993" customHeight="1">
      <c r="A579" s="505"/>
      <c r="B579" s="505"/>
      <c r="C579" s="505"/>
      <c r="D579" s="505"/>
      <c r="E579" s="505"/>
      <c r="F579" s="505"/>
      <c r="G579" s="505"/>
      <c r="H579" s="505"/>
      <c r="I579" s="505"/>
      <c r="J579" s="505"/>
      <c r="K579" s="505"/>
      <c r="L579" s="505"/>
      <c r="M579" s="505"/>
      <c r="N579" s="505"/>
      <c r="O579" s="505"/>
      <c r="P579" s="505"/>
      <c r="Q579" s="505"/>
      <c r="R579" s="505"/>
      <c r="S579" s="505"/>
      <c r="T579" s="505"/>
      <c r="U579" s="505"/>
      <c r="V579" s="505"/>
      <c r="W579" s="505"/>
    </row>
    <row r="580" spans="1:23" ht="9.9499999999999993" customHeight="1">
      <c r="A580" s="505"/>
      <c r="B580" s="505"/>
      <c r="C580" s="505"/>
      <c r="D580" s="505"/>
      <c r="E580" s="505"/>
      <c r="F580" s="505"/>
      <c r="G580" s="505"/>
      <c r="H580" s="505"/>
      <c r="I580" s="505"/>
      <c r="J580" s="505"/>
      <c r="K580" s="505"/>
      <c r="L580" s="505"/>
      <c r="M580" s="505"/>
      <c r="N580" s="505"/>
      <c r="O580" s="505"/>
      <c r="P580" s="505"/>
      <c r="Q580" s="505"/>
      <c r="R580" s="505"/>
      <c r="S580" s="505"/>
      <c r="T580" s="505"/>
      <c r="U580" s="505"/>
      <c r="V580" s="505"/>
      <c r="W580" s="505"/>
    </row>
    <row r="581" spans="1:23" ht="9.9499999999999993" customHeight="1">
      <c r="A581" s="505"/>
      <c r="B581" s="505"/>
      <c r="C581" s="505"/>
      <c r="D581" s="505"/>
      <c r="E581" s="505"/>
      <c r="F581" s="505"/>
      <c r="G581" s="505"/>
      <c r="H581" s="505"/>
      <c r="I581" s="505"/>
      <c r="J581" s="505"/>
      <c r="K581" s="505"/>
      <c r="L581" s="505"/>
      <c r="M581" s="505"/>
      <c r="N581" s="505"/>
      <c r="O581" s="505"/>
      <c r="P581" s="505"/>
      <c r="Q581" s="505"/>
      <c r="R581" s="505"/>
      <c r="S581" s="505"/>
      <c r="T581" s="505"/>
      <c r="U581" s="505"/>
      <c r="V581" s="505"/>
      <c r="W581" s="505"/>
    </row>
    <row r="582" spans="1:23" ht="9.9499999999999993" customHeight="1">
      <c r="A582" s="505"/>
      <c r="B582" s="505"/>
      <c r="C582" s="505"/>
      <c r="D582" s="505"/>
      <c r="E582" s="505"/>
      <c r="F582" s="505"/>
      <c r="G582" s="505"/>
      <c r="H582" s="505"/>
      <c r="I582" s="505"/>
      <c r="J582" s="505"/>
      <c r="K582" s="505"/>
      <c r="L582" s="505"/>
      <c r="M582" s="505"/>
      <c r="N582" s="505"/>
      <c r="O582" s="505"/>
      <c r="P582" s="505"/>
      <c r="Q582" s="505"/>
      <c r="R582" s="505"/>
      <c r="S582" s="505"/>
      <c r="T582" s="505"/>
      <c r="U582" s="505"/>
      <c r="V582" s="505"/>
      <c r="W582" s="505"/>
    </row>
    <row r="583" spans="1:23" ht="9.9499999999999993" customHeight="1">
      <c r="A583" s="505"/>
      <c r="B583" s="505"/>
      <c r="C583" s="505"/>
      <c r="D583" s="505"/>
      <c r="E583" s="505"/>
      <c r="F583" s="505"/>
      <c r="G583" s="505"/>
      <c r="H583" s="505"/>
      <c r="I583" s="505"/>
      <c r="J583" s="505"/>
      <c r="K583" s="505"/>
      <c r="L583" s="505"/>
      <c r="M583" s="505"/>
      <c r="N583" s="505"/>
      <c r="O583" s="505"/>
      <c r="P583" s="505"/>
      <c r="Q583" s="505"/>
      <c r="R583" s="505"/>
      <c r="S583" s="505"/>
      <c r="T583" s="505"/>
      <c r="U583" s="505"/>
      <c r="V583" s="505"/>
      <c r="W583" s="505"/>
    </row>
    <row r="584" spans="1:23" ht="9.9499999999999993" customHeight="1">
      <c r="A584" s="505"/>
      <c r="B584" s="505"/>
      <c r="C584" s="505"/>
      <c r="D584" s="505"/>
      <c r="E584" s="505"/>
      <c r="F584" s="505"/>
      <c r="G584" s="505"/>
      <c r="H584" s="505"/>
      <c r="I584" s="505"/>
      <c r="J584" s="505"/>
      <c r="K584" s="505"/>
      <c r="L584" s="505"/>
      <c r="M584" s="505"/>
      <c r="N584" s="505"/>
      <c r="O584" s="505"/>
      <c r="P584" s="505"/>
      <c r="Q584" s="505"/>
      <c r="R584" s="505"/>
      <c r="S584" s="505"/>
      <c r="T584" s="505"/>
      <c r="U584" s="505"/>
      <c r="V584" s="505"/>
      <c r="W584" s="505"/>
    </row>
    <row r="585" spans="1:23" ht="9.9499999999999993" customHeight="1">
      <c r="A585" s="505"/>
      <c r="B585" s="505"/>
      <c r="C585" s="505"/>
      <c r="D585" s="505"/>
      <c r="E585" s="505"/>
      <c r="F585" s="505"/>
      <c r="G585" s="505"/>
      <c r="H585" s="505"/>
      <c r="I585" s="505"/>
      <c r="J585" s="505"/>
      <c r="K585" s="505"/>
      <c r="L585" s="505"/>
      <c r="M585" s="505"/>
      <c r="N585" s="505"/>
      <c r="O585" s="505"/>
      <c r="P585" s="505"/>
      <c r="Q585" s="505"/>
      <c r="R585" s="505"/>
      <c r="S585" s="505"/>
      <c r="T585" s="505"/>
      <c r="U585" s="505"/>
      <c r="V585" s="505"/>
      <c r="W585" s="505"/>
    </row>
    <row r="586" spans="1:23" ht="9.9499999999999993" customHeight="1">
      <c r="A586" s="505"/>
      <c r="B586" s="505"/>
      <c r="C586" s="505"/>
      <c r="D586" s="505"/>
      <c r="E586" s="505"/>
      <c r="F586" s="505"/>
      <c r="G586" s="505"/>
      <c r="H586" s="505"/>
      <c r="I586" s="505"/>
      <c r="J586" s="505"/>
      <c r="K586" s="505"/>
      <c r="L586" s="505"/>
      <c r="M586" s="505"/>
      <c r="N586" s="505"/>
      <c r="O586" s="505"/>
      <c r="P586" s="505"/>
      <c r="Q586" s="505"/>
      <c r="R586" s="505"/>
      <c r="S586" s="505"/>
      <c r="T586" s="505"/>
      <c r="U586" s="505"/>
      <c r="V586" s="505"/>
      <c r="W586" s="505"/>
    </row>
    <row r="587" spans="1:23" ht="9.9499999999999993" customHeight="1">
      <c r="A587" s="505"/>
      <c r="B587" s="505"/>
      <c r="C587" s="505"/>
      <c r="D587" s="505"/>
      <c r="E587" s="505"/>
      <c r="F587" s="505"/>
      <c r="G587" s="505"/>
      <c r="H587" s="505"/>
      <c r="I587" s="505"/>
      <c r="J587" s="505"/>
      <c r="K587" s="505"/>
      <c r="L587" s="505"/>
      <c r="M587" s="505"/>
      <c r="N587" s="505"/>
      <c r="O587" s="505"/>
      <c r="P587" s="505"/>
      <c r="Q587" s="505"/>
      <c r="R587" s="505"/>
      <c r="S587" s="505"/>
      <c r="T587" s="505"/>
      <c r="U587" s="505"/>
      <c r="V587" s="505"/>
      <c r="W587" s="505"/>
    </row>
    <row r="588" spans="1:23" ht="9.9499999999999993" customHeight="1">
      <c r="A588" s="505"/>
      <c r="B588" s="505"/>
      <c r="C588" s="505"/>
      <c r="D588" s="505"/>
      <c r="E588" s="505"/>
      <c r="F588" s="505"/>
      <c r="G588" s="505"/>
      <c r="H588" s="505"/>
      <c r="I588" s="505"/>
      <c r="J588" s="505"/>
      <c r="K588" s="505"/>
      <c r="L588" s="505"/>
      <c r="M588" s="505"/>
      <c r="N588" s="505"/>
      <c r="O588" s="505"/>
      <c r="P588" s="505"/>
      <c r="Q588" s="505"/>
      <c r="R588" s="505"/>
      <c r="S588" s="505"/>
      <c r="T588" s="505"/>
      <c r="U588" s="505"/>
      <c r="V588" s="505"/>
      <c r="W588" s="505"/>
    </row>
    <row r="589" spans="1:23" ht="9.9499999999999993" customHeight="1">
      <c r="A589" s="505"/>
      <c r="B589" s="505"/>
      <c r="C589" s="505"/>
      <c r="D589" s="505"/>
      <c r="E589" s="505"/>
      <c r="F589" s="505"/>
      <c r="G589" s="505"/>
      <c r="H589" s="505"/>
      <c r="I589" s="505"/>
      <c r="J589" s="505"/>
      <c r="K589" s="505"/>
      <c r="L589" s="505"/>
      <c r="M589" s="505"/>
      <c r="N589" s="505"/>
      <c r="O589" s="505"/>
      <c r="P589" s="505"/>
      <c r="Q589" s="505"/>
      <c r="R589" s="505"/>
      <c r="S589" s="505"/>
      <c r="T589" s="505"/>
      <c r="U589" s="505"/>
      <c r="V589" s="505"/>
      <c r="W589" s="505"/>
    </row>
    <row r="590" spans="1:23" ht="9.9499999999999993" customHeight="1">
      <c r="A590" s="505"/>
      <c r="B590" s="505"/>
      <c r="C590" s="505"/>
      <c r="D590" s="505"/>
      <c r="E590" s="505"/>
      <c r="F590" s="505"/>
      <c r="G590" s="505"/>
      <c r="H590" s="505"/>
      <c r="I590" s="505"/>
      <c r="J590" s="505"/>
      <c r="K590" s="505"/>
      <c r="L590" s="505"/>
      <c r="M590" s="505"/>
      <c r="N590" s="505"/>
      <c r="O590" s="505"/>
      <c r="P590" s="505"/>
      <c r="Q590" s="505"/>
      <c r="R590" s="505"/>
      <c r="S590" s="505"/>
      <c r="T590" s="505"/>
      <c r="U590" s="505"/>
      <c r="V590" s="505"/>
      <c r="W590" s="505"/>
    </row>
    <row r="591" spans="1:23" ht="9.9499999999999993" customHeight="1">
      <c r="A591" s="505"/>
      <c r="B591" s="505"/>
      <c r="C591" s="505"/>
      <c r="D591" s="505"/>
      <c r="E591" s="505"/>
      <c r="F591" s="505"/>
      <c r="G591" s="505"/>
      <c r="H591" s="505"/>
      <c r="I591" s="505"/>
      <c r="J591" s="505"/>
      <c r="K591" s="505"/>
      <c r="L591" s="505"/>
      <c r="M591" s="505"/>
      <c r="N591" s="505"/>
      <c r="O591" s="505"/>
      <c r="P591" s="505"/>
      <c r="Q591" s="505"/>
      <c r="R591" s="505"/>
      <c r="S591" s="505"/>
      <c r="T591" s="505"/>
      <c r="U591" s="505"/>
      <c r="V591" s="505"/>
      <c r="W591" s="505"/>
    </row>
    <row r="592" spans="1:23" ht="9.9499999999999993" customHeight="1">
      <c r="A592" s="505"/>
      <c r="B592" s="505"/>
      <c r="C592" s="505"/>
      <c r="D592" s="505"/>
      <c r="E592" s="505"/>
      <c r="F592" s="505"/>
      <c r="G592" s="505"/>
      <c r="H592" s="505"/>
      <c r="I592" s="505"/>
      <c r="J592" s="505"/>
      <c r="K592" s="505"/>
      <c r="L592" s="505"/>
      <c r="M592" s="505"/>
      <c r="N592" s="505"/>
      <c r="O592" s="505"/>
      <c r="P592" s="505"/>
      <c r="Q592" s="505"/>
      <c r="R592" s="505"/>
      <c r="S592" s="505"/>
      <c r="T592" s="505"/>
      <c r="U592" s="505"/>
      <c r="V592" s="505"/>
      <c r="W592" s="505"/>
    </row>
    <row r="593" spans="1:23" ht="9.9499999999999993" customHeight="1">
      <c r="A593" s="505"/>
      <c r="B593" s="505"/>
      <c r="C593" s="505"/>
      <c r="D593" s="505"/>
      <c r="E593" s="505"/>
      <c r="F593" s="505"/>
      <c r="G593" s="505"/>
      <c r="H593" s="505"/>
      <c r="I593" s="505"/>
      <c r="J593" s="505"/>
      <c r="K593" s="505"/>
      <c r="L593" s="505"/>
      <c r="M593" s="505"/>
      <c r="N593" s="505"/>
      <c r="O593" s="505"/>
      <c r="P593" s="505"/>
      <c r="Q593" s="505"/>
      <c r="R593" s="505"/>
      <c r="S593" s="505"/>
      <c r="T593" s="505"/>
      <c r="U593" s="505"/>
      <c r="V593" s="505"/>
      <c r="W593" s="505"/>
    </row>
    <row r="594" spans="1:23" ht="9.9499999999999993" customHeight="1">
      <c r="A594" s="505"/>
      <c r="B594" s="505"/>
      <c r="C594" s="505"/>
      <c r="D594" s="505"/>
      <c r="E594" s="505"/>
      <c r="F594" s="505"/>
      <c r="G594" s="505"/>
      <c r="H594" s="505"/>
      <c r="I594" s="505"/>
      <c r="J594" s="505"/>
      <c r="K594" s="505"/>
      <c r="L594" s="505"/>
      <c r="M594" s="505"/>
      <c r="N594" s="505"/>
      <c r="O594" s="505"/>
      <c r="P594" s="505"/>
      <c r="Q594" s="505"/>
      <c r="R594" s="505"/>
      <c r="S594" s="505"/>
      <c r="T594" s="505"/>
      <c r="U594" s="505"/>
      <c r="V594" s="505"/>
      <c r="W594" s="505"/>
    </row>
    <row r="595" spans="1:23" ht="9.9499999999999993" customHeight="1">
      <c r="A595" s="505"/>
      <c r="B595" s="505"/>
      <c r="C595" s="505"/>
      <c r="D595" s="505"/>
      <c r="E595" s="505"/>
      <c r="F595" s="505"/>
      <c r="G595" s="505"/>
      <c r="H595" s="505"/>
      <c r="I595" s="505"/>
      <c r="J595" s="505"/>
      <c r="K595" s="505"/>
      <c r="L595" s="505"/>
      <c r="M595" s="505"/>
      <c r="N595" s="505"/>
      <c r="O595" s="505"/>
      <c r="P595" s="505"/>
      <c r="Q595" s="505"/>
      <c r="R595" s="505"/>
      <c r="S595" s="505"/>
      <c r="T595" s="505"/>
      <c r="U595" s="505"/>
      <c r="V595" s="505"/>
      <c r="W595" s="505"/>
    </row>
    <row r="596" spans="1:23" ht="9.9499999999999993" customHeight="1">
      <c r="A596" s="505"/>
      <c r="B596" s="505"/>
      <c r="C596" s="505"/>
      <c r="D596" s="505"/>
      <c r="E596" s="505"/>
      <c r="F596" s="505"/>
      <c r="G596" s="505"/>
      <c r="H596" s="505"/>
      <c r="I596" s="505"/>
      <c r="J596" s="505"/>
      <c r="K596" s="505"/>
      <c r="L596" s="505"/>
      <c r="M596" s="505"/>
      <c r="N596" s="505"/>
      <c r="O596" s="505"/>
      <c r="P596" s="505"/>
      <c r="Q596" s="505"/>
      <c r="R596" s="505"/>
      <c r="S596" s="505"/>
      <c r="T596" s="505"/>
      <c r="U596" s="505"/>
      <c r="V596" s="505"/>
      <c r="W596" s="505"/>
    </row>
  </sheetData>
  <pageMargins left="0.7" right="0.7" top="0.75" bottom="0.75" header="0.3" footer="0.3"/>
  <pageSetup paperSize="9" scale="7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6"/>
  <dimension ref="A1:BD312"/>
  <sheetViews>
    <sheetView showRowColHeaders="0" view="pageBreakPreview" zoomScale="60" zoomScaleNormal="100" workbookViewId="0">
      <pane xSplit="11" ySplit="44" topLeftCell="L45" activePane="bottomRight" state="frozen"/>
      <selection pane="topRight" activeCell="L1" sqref="L1"/>
      <selection pane="bottomLeft" activeCell="A45" sqref="A45"/>
      <selection pane="bottomRight"/>
    </sheetView>
  </sheetViews>
  <sheetFormatPr baseColWidth="10" defaultColWidth="12" defaultRowHeight="9.9499999999999993" customHeight="1"/>
  <cols>
    <col min="1" max="11" width="12" style="490"/>
    <col min="12" max="12" width="13.33203125" style="490" customWidth="1"/>
    <col min="13" max="16384" width="12" style="490"/>
  </cols>
  <sheetData>
    <row r="1" spans="1:56" ht="9.9499999999999993" customHeight="1">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row>
    <row r="2" spans="1:56" ht="9.9499999999999993" customHeight="1">
      <c r="A2" s="505"/>
      <c r="B2" s="486"/>
      <c r="C2" s="487"/>
      <c r="D2" s="487"/>
      <c r="E2" s="487"/>
      <c r="F2" s="488"/>
      <c r="G2" s="487"/>
      <c r="H2" s="487"/>
      <c r="I2" s="487"/>
      <c r="J2" s="487"/>
      <c r="K2" s="489"/>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row>
    <row r="3" spans="1:56" ht="9.9499999999999993" customHeight="1">
      <c r="A3" s="505"/>
      <c r="B3" s="486"/>
      <c r="C3" s="487"/>
      <c r="D3" s="487"/>
      <c r="E3" s="487"/>
      <c r="F3" s="488"/>
      <c r="G3" s="487"/>
      <c r="H3" s="487"/>
      <c r="I3" s="487"/>
      <c r="J3" s="487"/>
      <c r="K3" s="489"/>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row>
    <row r="4" spans="1:56" ht="9.9499999999999993" customHeight="1">
      <c r="A4" s="505"/>
      <c r="B4" s="486"/>
      <c r="C4" s="487"/>
      <c r="D4" s="487"/>
      <c r="E4" s="487"/>
      <c r="F4" s="488"/>
      <c r="G4" s="487"/>
      <c r="H4" s="487"/>
      <c r="I4" s="487"/>
      <c r="J4" s="487"/>
      <c r="K4" s="489"/>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row>
    <row r="5" spans="1:56" ht="9.9499999999999993" customHeight="1">
      <c r="A5" s="505"/>
      <c r="B5" s="486"/>
      <c r="C5" s="487"/>
      <c r="D5" s="487"/>
      <c r="E5" s="487"/>
      <c r="F5" s="488"/>
      <c r="G5" s="487"/>
      <c r="H5" s="487"/>
      <c r="I5" s="487"/>
      <c r="J5" s="487"/>
      <c r="K5" s="489"/>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row>
    <row r="6" spans="1:56" ht="9.9499999999999993" customHeight="1" thickBot="1">
      <c r="A6" s="505"/>
      <c r="B6" s="491"/>
      <c r="C6" s="492"/>
      <c r="D6" s="492"/>
      <c r="E6" s="492"/>
      <c r="F6" s="493"/>
      <c r="G6" s="487"/>
      <c r="H6" s="487"/>
      <c r="I6" s="487"/>
      <c r="J6" s="487"/>
      <c r="K6" s="489"/>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row>
    <row r="7" spans="1:56" ht="9.9499999999999993" customHeight="1">
      <c r="A7" s="505"/>
      <c r="B7" s="494"/>
      <c r="C7" s="487"/>
      <c r="D7" s="487"/>
      <c r="E7" s="487"/>
      <c r="F7" s="489"/>
      <c r="G7" s="487"/>
      <c r="H7" s="487"/>
      <c r="I7" s="487"/>
      <c r="J7" s="487"/>
      <c r="K7" s="489"/>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row>
    <row r="8" spans="1:56" ht="9.9499999999999993" customHeight="1">
      <c r="A8" s="505"/>
      <c r="B8" s="494"/>
      <c r="C8" s="487"/>
      <c r="D8" s="487"/>
      <c r="E8" s="487"/>
      <c r="F8" s="489"/>
      <c r="G8" s="487"/>
      <c r="H8" s="487"/>
      <c r="I8" s="487"/>
      <c r="J8" s="487"/>
      <c r="K8" s="489"/>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5"/>
      <c r="AZ8" s="505"/>
      <c r="BA8" s="505"/>
      <c r="BB8" s="505"/>
      <c r="BC8" s="505"/>
      <c r="BD8" s="505"/>
    </row>
    <row r="9" spans="1:56" ht="9.9499999999999993" customHeight="1">
      <c r="A9" s="505"/>
      <c r="B9" s="494"/>
      <c r="C9" s="487"/>
      <c r="D9" s="487"/>
      <c r="E9" s="487"/>
      <c r="F9" s="489"/>
      <c r="G9" s="487"/>
      <c r="H9" s="487"/>
      <c r="I9" s="487"/>
      <c r="J9" s="487"/>
      <c r="K9" s="489"/>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row>
    <row r="10" spans="1:56" ht="9.9499999999999993" customHeight="1">
      <c r="A10" s="505"/>
      <c r="B10" s="494"/>
      <c r="C10" s="487"/>
      <c r="D10" s="487"/>
      <c r="E10" s="487"/>
      <c r="F10" s="489"/>
      <c r="G10" s="487"/>
      <c r="H10" s="487"/>
      <c r="I10" s="487"/>
      <c r="J10" s="487"/>
      <c r="K10" s="489"/>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row>
    <row r="11" spans="1:56" ht="9.9499999999999993" customHeight="1">
      <c r="A11" s="505"/>
      <c r="B11" s="494"/>
      <c r="C11" s="487"/>
      <c r="D11" s="487"/>
      <c r="E11" s="487"/>
      <c r="F11" s="489"/>
      <c r="G11" s="487"/>
      <c r="H11" s="487"/>
      <c r="I11" s="487"/>
      <c r="J11" s="487"/>
      <c r="K11" s="489"/>
      <c r="L11" s="505"/>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row>
    <row r="12" spans="1:56" ht="9.9499999999999993" customHeight="1">
      <c r="A12" s="505"/>
      <c r="B12" s="494"/>
      <c r="C12" s="487"/>
      <c r="D12" s="487"/>
      <c r="E12" s="487"/>
      <c r="F12" s="489"/>
      <c r="G12" s="487"/>
      <c r="H12" s="487"/>
      <c r="I12" s="487"/>
      <c r="J12" s="487"/>
      <c r="K12" s="489"/>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row>
    <row r="13" spans="1:56" ht="9.9499999999999993" customHeight="1">
      <c r="A13" s="505"/>
      <c r="B13" s="494"/>
      <c r="C13" s="487"/>
      <c r="D13" s="487"/>
      <c r="E13" s="487"/>
      <c r="F13" s="489"/>
      <c r="G13" s="487"/>
      <c r="H13" s="487"/>
      <c r="I13" s="487"/>
      <c r="J13" s="487"/>
      <c r="K13" s="489"/>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c r="AO13" s="505"/>
      <c r="AP13" s="505"/>
      <c r="AQ13" s="505"/>
      <c r="AR13" s="505"/>
      <c r="AS13" s="505"/>
      <c r="AT13" s="505"/>
      <c r="AU13" s="505"/>
      <c r="AV13" s="505"/>
      <c r="AW13" s="505"/>
      <c r="AX13" s="505"/>
      <c r="AY13" s="505"/>
      <c r="AZ13" s="505"/>
      <c r="BA13" s="505"/>
      <c r="BB13" s="505"/>
      <c r="BC13" s="505"/>
      <c r="BD13" s="505"/>
    </row>
    <row r="14" spans="1:56" ht="9.9499999999999993" customHeight="1">
      <c r="A14" s="505"/>
      <c r="B14" s="494"/>
      <c r="C14" s="487"/>
      <c r="D14" s="487"/>
      <c r="E14" s="487"/>
      <c r="F14" s="489"/>
      <c r="G14" s="487"/>
      <c r="H14" s="487"/>
      <c r="I14" s="487"/>
      <c r="J14" s="487"/>
      <c r="K14" s="489"/>
      <c r="L14" s="505"/>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05"/>
      <c r="AV14" s="505"/>
      <c r="AW14" s="505"/>
      <c r="AX14" s="505"/>
      <c r="AY14" s="505"/>
      <c r="AZ14" s="505"/>
      <c r="BA14" s="505"/>
      <c r="BB14" s="505"/>
      <c r="BC14" s="505"/>
      <c r="BD14" s="505"/>
    </row>
    <row r="15" spans="1:56" ht="9.9499999999999993" customHeight="1">
      <c r="A15" s="505"/>
      <c r="B15" s="494"/>
      <c r="C15" s="487"/>
      <c r="D15" s="487"/>
      <c r="E15" s="487"/>
      <c r="F15" s="489"/>
      <c r="G15" s="487"/>
      <c r="H15" s="487"/>
      <c r="I15" s="487"/>
      <c r="J15" s="487"/>
      <c r="K15" s="489"/>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c r="AL15" s="505"/>
      <c r="AM15" s="505"/>
      <c r="AN15" s="505"/>
      <c r="AO15" s="505"/>
      <c r="AP15" s="505"/>
      <c r="AQ15" s="505"/>
      <c r="AR15" s="505"/>
      <c r="AS15" s="505"/>
      <c r="AT15" s="505"/>
      <c r="AU15" s="505"/>
      <c r="AV15" s="505"/>
      <c r="AW15" s="505"/>
      <c r="AX15" s="505"/>
      <c r="AY15" s="505"/>
      <c r="AZ15" s="505"/>
      <c r="BA15" s="505"/>
      <c r="BB15" s="505"/>
      <c r="BC15" s="505"/>
      <c r="BD15" s="505"/>
    </row>
    <row r="16" spans="1:56" ht="9.9499999999999993" customHeight="1">
      <c r="A16" s="505"/>
      <c r="B16" s="494"/>
      <c r="C16" s="487"/>
      <c r="D16" s="487"/>
      <c r="E16" s="487"/>
      <c r="F16" s="489"/>
      <c r="G16" s="487"/>
      <c r="H16" s="487"/>
      <c r="I16" s="487"/>
      <c r="J16" s="487"/>
      <c r="K16" s="489"/>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505"/>
      <c r="AZ16" s="505"/>
      <c r="BA16" s="505"/>
      <c r="BB16" s="505"/>
      <c r="BC16" s="505"/>
      <c r="BD16" s="505"/>
    </row>
    <row r="17" spans="1:56" ht="9.9499999999999993" customHeight="1">
      <c r="A17" s="505"/>
      <c r="B17" s="494"/>
      <c r="C17" s="487"/>
      <c r="D17" s="487"/>
      <c r="E17" s="487"/>
      <c r="F17" s="489"/>
      <c r="G17" s="487"/>
      <c r="H17" s="487"/>
      <c r="I17" s="487"/>
      <c r="J17" s="487"/>
      <c r="K17" s="489"/>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c r="AL17" s="505"/>
      <c r="AM17" s="505"/>
      <c r="AN17" s="505"/>
      <c r="AO17" s="505"/>
      <c r="AP17" s="505"/>
      <c r="AQ17" s="505"/>
      <c r="AR17" s="505"/>
      <c r="AS17" s="505"/>
      <c r="AT17" s="505"/>
      <c r="AU17" s="505"/>
      <c r="AV17" s="505"/>
      <c r="AW17" s="505"/>
      <c r="AX17" s="505"/>
      <c r="AY17" s="505"/>
      <c r="AZ17" s="505"/>
      <c r="BA17" s="505"/>
      <c r="BB17" s="505"/>
      <c r="BC17" s="505"/>
      <c r="BD17" s="505"/>
    </row>
    <row r="18" spans="1:56" ht="9.9499999999999993" customHeight="1">
      <c r="A18" s="505"/>
      <c r="B18" s="494"/>
      <c r="C18" s="487"/>
      <c r="D18" s="487"/>
      <c r="E18" s="487"/>
      <c r="F18" s="489"/>
      <c r="G18" s="487"/>
      <c r="H18" s="487"/>
      <c r="I18" s="487"/>
      <c r="J18" s="487"/>
      <c r="K18" s="489"/>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row>
    <row r="19" spans="1:56" ht="9.9499999999999993" customHeight="1">
      <c r="A19" s="505"/>
      <c r="B19" s="494"/>
      <c r="C19" s="487"/>
      <c r="D19" s="487"/>
      <c r="E19" s="487"/>
      <c r="F19" s="489"/>
      <c r="G19" s="487"/>
      <c r="H19" s="487"/>
      <c r="I19" s="487"/>
      <c r="J19" s="487"/>
      <c r="K19" s="489"/>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5"/>
      <c r="AY19" s="505"/>
      <c r="AZ19" s="505"/>
      <c r="BA19" s="505"/>
      <c r="BB19" s="505"/>
      <c r="BC19" s="505"/>
      <c r="BD19" s="505"/>
    </row>
    <row r="20" spans="1:56" ht="9.9499999999999993" customHeight="1">
      <c r="A20" s="505"/>
      <c r="B20" s="494"/>
      <c r="C20" s="487"/>
      <c r="D20" s="487"/>
      <c r="E20" s="487"/>
      <c r="F20" s="489"/>
      <c r="G20" s="487"/>
      <c r="H20" s="487"/>
      <c r="I20" s="487"/>
      <c r="J20" s="487"/>
      <c r="K20" s="489"/>
      <c r="L20" s="505"/>
      <c r="M20" s="505"/>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505"/>
      <c r="AM20" s="505"/>
      <c r="AN20" s="505"/>
      <c r="AO20" s="505"/>
      <c r="AP20" s="505"/>
      <c r="AQ20" s="505"/>
      <c r="AR20" s="505"/>
      <c r="AS20" s="505"/>
      <c r="AT20" s="505"/>
      <c r="AU20" s="505"/>
      <c r="AV20" s="505"/>
      <c r="AW20" s="505"/>
      <c r="AX20" s="505"/>
      <c r="AY20" s="505"/>
      <c r="AZ20" s="505"/>
      <c r="BA20" s="505"/>
      <c r="BB20" s="505"/>
      <c r="BC20" s="505"/>
      <c r="BD20" s="505"/>
    </row>
    <row r="21" spans="1:56" ht="9.9499999999999993" customHeight="1">
      <c r="A21" s="505"/>
      <c r="B21" s="494"/>
      <c r="C21" s="487"/>
      <c r="D21" s="487"/>
      <c r="E21" s="487"/>
      <c r="F21" s="489"/>
      <c r="G21" s="487"/>
      <c r="H21" s="487"/>
      <c r="I21" s="487"/>
      <c r="J21" s="487"/>
      <c r="K21" s="489"/>
      <c r="L21" s="505"/>
      <c r="M21" s="505"/>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c r="BC21" s="505"/>
      <c r="BD21" s="505"/>
    </row>
    <row r="22" spans="1:56" ht="9.9499999999999993" customHeight="1">
      <c r="A22" s="505"/>
      <c r="B22" s="494"/>
      <c r="C22" s="487"/>
      <c r="D22" s="487"/>
      <c r="E22" s="487"/>
      <c r="F22" s="489"/>
      <c r="G22" s="487"/>
      <c r="H22" s="487"/>
      <c r="I22" s="487"/>
      <c r="J22" s="487"/>
      <c r="K22" s="489"/>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5"/>
      <c r="AY22" s="505"/>
      <c r="AZ22" s="505"/>
      <c r="BA22" s="505"/>
      <c r="BB22" s="505"/>
      <c r="BC22" s="505"/>
      <c r="BD22" s="505"/>
    </row>
    <row r="23" spans="1:56" ht="9.9499999999999993" customHeight="1">
      <c r="A23" s="505"/>
      <c r="B23" s="494"/>
      <c r="C23" s="487"/>
      <c r="D23" s="487"/>
      <c r="E23" s="487"/>
      <c r="F23" s="489"/>
      <c r="G23" s="487"/>
      <c r="H23" s="487"/>
      <c r="I23" s="487"/>
      <c r="J23" s="487"/>
      <c r="K23" s="489"/>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row>
    <row r="24" spans="1:56" ht="9.9499999999999993" customHeight="1">
      <c r="A24" s="505"/>
      <c r="B24" s="494"/>
      <c r="C24" s="487"/>
      <c r="D24" s="487"/>
      <c r="E24" s="487"/>
      <c r="F24" s="489"/>
      <c r="G24" s="487"/>
      <c r="H24" s="487"/>
      <c r="I24" s="487"/>
      <c r="J24" s="487"/>
      <c r="K24" s="489"/>
      <c r="L24" s="505"/>
      <c r="M24" s="505"/>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505"/>
      <c r="AW24" s="505"/>
      <c r="AX24" s="505"/>
      <c r="AY24" s="505"/>
      <c r="AZ24" s="505"/>
      <c r="BA24" s="505"/>
      <c r="BB24" s="505"/>
      <c r="BC24" s="505"/>
      <c r="BD24" s="505"/>
    </row>
    <row r="25" spans="1:56" ht="9.9499999999999993" customHeight="1">
      <c r="A25" s="505"/>
      <c r="B25" s="494"/>
      <c r="C25" s="487"/>
      <c r="D25" s="487"/>
      <c r="E25" s="487"/>
      <c r="F25" s="489"/>
      <c r="G25" s="487"/>
      <c r="H25" s="487"/>
      <c r="I25" s="487"/>
      <c r="J25" s="487"/>
      <c r="K25" s="489"/>
      <c r="L25" s="505"/>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row>
    <row r="26" spans="1:56" ht="9.9499999999999993" customHeight="1">
      <c r="A26" s="505"/>
      <c r="B26" s="494"/>
      <c r="C26" s="487"/>
      <c r="D26" s="487"/>
      <c r="E26" s="487"/>
      <c r="F26" s="489"/>
      <c r="G26" s="487"/>
      <c r="H26" s="487"/>
      <c r="I26" s="487"/>
      <c r="J26" s="487"/>
      <c r="K26" s="489"/>
      <c r="L26" s="505"/>
      <c r="M26" s="505"/>
      <c r="N26" s="505"/>
      <c r="O26" s="505"/>
      <c r="P26" s="505"/>
      <c r="Q26" s="505"/>
      <c r="R26" s="505"/>
      <c r="S26" s="505"/>
      <c r="T26" s="505"/>
      <c r="U26" s="505"/>
      <c r="V26" s="505"/>
      <c r="W26" s="505"/>
      <c r="X26" s="505"/>
      <c r="Y26" s="505"/>
      <c r="Z26" s="505"/>
      <c r="AA26" s="505"/>
      <c r="AB26" s="505"/>
      <c r="AC26" s="505"/>
      <c r="AD26" s="505"/>
      <c r="AE26" s="505"/>
      <c r="AF26" s="505"/>
      <c r="AG26" s="505"/>
      <c r="AH26" s="505"/>
      <c r="AI26" s="505"/>
      <c r="AJ26" s="505"/>
      <c r="AK26" s="505"/>
      <c r="AL26" s="505"/>
      <c r="AM26" s="505"/>
      <c r="AN26" s="505"/>
      <c r="AO26" s="505"/>
      <c r="AP26" s="505"/>
      <c r="AQ26" s="505"/>
      <c r="AR26" s="505"/>
      <c r="AS26" s="505"/>
      <c r="AT26" s="505"/>
      <c r="AU26" s="505"/>
      <c r="AV26" s="505"/>
      <c r="AW26" s="505"/>
      <c r="AX26" s="505"/>
      <c r="AY26" s="505"/>
      <c r="AZ26" s="505"/>
      <c r="BA26" s="505"/>
      <c r="BB26" s="505"/>
      <c r="BC26" s="505"/>
      <c r="BD26" s="505"/>
    </row>
    <row r="27" spans="1:56" ht="9.9499999999999993" customHeight="1">
      <c r="A27" s="505"/>
      <c r="B27" s="494"/>
      <c r="C27" s="487"/>
      <c r="D27" s="487"/>
      <c r="E27" s="487"/>
      <c r="F27" s="489"/>
      <c r="G27" s="487"/>
      <c r="H27" s="487"/>
      <c r="I27" s="487"/>
      <c r="J27" s="487"/>
      <c r="K27" s="489"/>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row>
    <row r="28" spans="1:56" ht="9.9499999999999993" customHeight="1">
      <c r="A28" s="505"/>
      <c r="B28" s="494"/>
      <c r="C28" s="487"/>
      <c r="D28" s="487"/>
      <c r="E28" s="487"/>
      <c r="F28" s="489"/>
      <c r="G28" s="487"/>
      <c r="H28" s="487"/>
      <c r="I28" s="487"/>
      <c r="J28" s="487"/>
      <c r="K28" s="489"/>
      <c r="L28" s="505"/>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05"/>
      <c r="AO28" s="505"/>
      <c r="AP28" s="505"/>
      <c r="AQ28" s="505"/>
      <c r="AR28" s="505"/>
      <c r="AS28" s="505"/>
      <c r="AT28" s="505"/>
      <c r="AU28" s="505"/>
      <c r="AV28" s="505"/>
      <c r="AW28" s="505"/>
      <c r="AX28" s="505"/>
      <c r="AY28" s="505"/>
      <c r="AZ28" s="505"/>
      <c r="BA28" s="505"/>
      <c r="BB28" s="505"/>
      <c r="BC28" s="505"/>
      <c r="BD28" s="505"/>
    </row>
    <row r="29" spans="1:56" ht="9.9499999999999993" customHeight="1">
      <c r="A29" s="505"/>
      <c r="B29" s="494"/>
      <c r="C29" s="487"/>
      <c r="D29" s="487"/>
      <c r="E29" s="487"/>
      <c r="F29" s="489"/>
      <c r="G29" s="487"/>
      <c r="H29" s="487"/>
      <c r="I29" s="487"/>
      <c r="J29" s="487"/>
      <c r="K29" s="489"/>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c r="AM29" s="505"/>
      <c r="AN29" s="505"/>
      <c r="AO29" s="505"/>
      <c r="AP29" s="505"/>
      <c r="AQ29" s="505"/>
      <c r="AR29" s="505"/>
      <c r="AS29" s="505"/>
      <c r="AT29" s="505"/>
      <c r="AU29" s="505"/>
      <c r="AV29" s="505"/>
      <c r="AW29" s="505"/>
      <c r="AX29" s="505"/>
      <c r="AY29" s="505"/>
      <c r="AZ29" s="505"/>
      <c r="BA29" s="505"/>
      <c r="BB29" s="505"/>
      <c r="BC29" s="505"/>
      <c r="BD29" s="505"/>
    </row>
    <row r="30" spans="1:56" ht="9.9499999999999993" customHeight="1">
      <c r="A30" s="505"/>
      <c r="B30" s="494"/>
      <c r="C30" s="487"/>
      <c r="D30" s="487"/>
      <c r="E30" s="487"/>
      <c r="F30" s="489"/>
      <c r="G30" s="487"/>
      <c r="H30" s="487"/>
      <c r="I30" s="487"/>
      <c r="J30" s="487"/>
      <c r="K30" s="489"/>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c r="AO30" s="505"/>
      <c r="AP30" s="505"/>
      <c r="AQ30" s="505"/>
      <c r="AR30" s="505"/>
      <c r="AS30" s="505"/>
      <c r="AT30" s="505"/>
      <c r="AU30" s="505"/>
      <c r="AV30" s="505"/>
      <c r="AW30" s="505"/>
      <c r="AX30" s="505"/>
      <c r="AY30" s="505"/>
      <c r="AZ30" s="505"/>
      <c r="BA30" s="505"/>
      <c r="BB30" s="505"/>
      <c r="BC30" s="505"/>
      <c r="BD30" s="505"/>
    </row>
    <row r="31" spans="1:56" ht="9.9499999999999993" customHeight="1">
      <c r="A31" s="505"/>
      <c r="B31" s="494"/>
      <c r="C31" s="487"/>
      <c r="D31" s="487"/>
      <c r="E31" s="487"/>
      <c r="F31" s="489"/>
      <c r="G31" s="487"/>
      <c r="H31" s="487"/>
      <c r="I31" s="487"/>
      <c r="J31" s="487"/>
      <c r="K31" s="489"/>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5"/>
      <c r="AN31" s="505"/>
      <c r="AO31" s="505"/>
      <c r="AP31" s="505"/>
      <c r="AQ31" s="505"/>
      <c r="AR31" s="505"/>
      <c r="AS31" s="505"/>
      <c r="AT31" s="505"/>
      <c r="AU31" s="505"/>
      <c r="AV31" s="505"/>
      <c r="AW31" s="505"/>
      <c r="AX31" s="505"/>
      <c r="AY31" s="505"/>
      <c r="AZ31" s="505"/>
      <c r="BA31" s="505"/>
      <c r="BB31" s="505"/>
      <c r="BC31" s="505"/>
      <c r="BD31" s="505"/>
    </row>
    <row r="32" spans="1:56" ht="9.9499999999999993" customHeight="1">
      <c r="A32" s="505"/>
      <c r="B32" s="494"/>
      <c r="C32" s="487"/>
      <c r="D32" s="487"/>
      <c r="E32" s="487"/>
      <c r="F32" s="489"/>
      <c r="G32" s="487"/>
      <c r="H32" s="487"/>
      <c r="I32" s="487"/>
      <c r="J32" s="487"/>
      <c r="K32" s="489"/>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5"/>
      <c r="AY32" s="505"/>
      <c r="AZ32" s="505"/>
      <c r="BA32" s="505"/>
      <c r="BB32" s="505"/>
      <c r="BC32" s="505"/>
      <c r="BD32" s="505"/>
    </row>
    <row r="33" spans="1:56" ht="9.9499999999999993" customHeight="1">
      <c r="A33" s="505"/>
      <c r="B33" s="494"/>
      <c r="C33" s="487"/>
      <c r="D33" s="487"/>
      <c r="E33" s="487"/>
      <c r="F33" s="489"/>
      <c r="G33" s="487"/>
      <c r="H33" s="487"/>
      <c r="I33" s="487"/>
      <c r="J33" s="487"/>
      <c r="K33" s="489"/>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c r="AP33" s="505"/>
      <c r="AQ33" s="505"/>
      <c r="AR33" s="505"/>
      <c r="AS33" s="505"/>
      <c r="AT33" s="505"/>
      <c r="AU33" s="505"/>
      <c r="AV33" s="505"/>
      <c r="AW33" s="505"/>
      <c r="AX33" s="505"/>
      <c r="AY33" s="505"/>
      <c r="AZ33" s="505"/>
      <c r="BA33" s="505"/>
      <c r="BB33" s="505"/>
      <c r="BC33" s="505"/>
      <c r="BD33" s="505"/>
    </row>
    <row r="34" spans="1:56" ht="9.9499999999999993" customHeight="1">
      <c r="A34" s="505"/>
      <c r="B34" s="494"/>
      <c r="C34" s="487"/>
      <c r="D34" s="487"/>
      <c r="E34" s="487"/>
      <c r="F34" s="489"/>
      <c r="G34" s="487"/>
      <c r="H34" s="487"/>
      <c r="I34" s="487"/>
      <c r="J34" s="487"/>
      <c r="K34" s="489"/>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05"/>
      <c r="AO34" s="505"/>
      <c r="AP34" s="505"/>
      <c r="AQ34" s="505"/>
      <c r="AR34" s="505"/>
      <c r="AS34" s="505"/>
      <c r="AT34" s="505"/>
      <c r="AU34" s="505"/>
      <c r="AV34" s="505"/>
      <c r="AW34" s="505"/>
      <c r="AX34" s="505"/>
      <c r="AY34" s="505"/>
      <c r="AZ34" s="505"/>
      <c r="BA34" s="505"/>
      <c r="BB34" s="505"/>
      <c r="BC34" s="505"/>
      <c r="BD34" s="505"/>
    </row>
    <row r="35" spans="1:56" ht="9.9499999999999993" customHeight="1">
      <c r="A35" s="505"/>
      <c r="B35" s="494"/>
      <c r="C35" s="487"/>
      <c r="D35" s="487"/>
      <c r="E35" s="487"/>
      <c r="F35" s="489"/>
      <c r="G35" s="487"/>
      <c r="H35" s="487"/>
      <c r="I35" s="487"/>
      <c r="J35" s="487"/>
      <c r="K35" s="489"/>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05"/>
      <c r="AO35" s="505"/>
      <c r="AP35" s="505"/>
      <c r="AQ35" s="505"/>
      <c r="AR35" s="505"/>
      <c r="AS35" s="505"/>
      <c r="AT35" s="505"/>
      <c r="AU35" s="505"/>
      <c r="AV35" s="505"/>
      <c r="AW35" s="505"/>
      <c r="AX35" s="505"/>
      <c r="AY35" s="505"/>
      <c r="AZ35" s="505"/>
      <c r="BA35" s="505"/>
      <c r="BB35" s="505"/>
      <c r="BC35" s="505"/>
      <c r="BD35" s="505"/>
    </row>
    <row r="36" spans="1:56" ht="9.9499999999999993" customHeight="1">
      <c r="A36" s="505"/>
      <c r="B36" s="494"/>
      <c r="C36" s="487"/>
      <c r="D36" s="487"/>
      <c r="E36" s="487"/>
      <c r="F36" s="489"/>
      <c r="G36" s="487"/>
      <c r="H36" s="487"/>
      <c r="I36" s="487"/>
      <c r="J36" s="487"/>
      <c r="K36" s="489"/>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c r="AP36" s="505"/>
      <c r="AQ36" s="505"/>
      <c r="AR36" s="505"/>
      <c r="AS36" s="505"/>
      <c r="AT36" s="505"/>
      <c r="AU36" s="505"/>
      <c r="AV36" s="505"/>
      <c r="AW36" s="505"/>
      <c r="AX36" s="505"/>
      <c r="AY36" s="505"/>
      <c r="AZ36" s="505"/>
      <c r="BA36" s="505"/>
      <c r="BB36" s="505"/>
      <c r="BC36" s="505"/>
      <c r="BD36" s="505"/>
    </row>
    <row r="37" spans="1:56" ht="9.9499999999999993" customHeight="1">
      <c r="A37" s="505"/>
      <c r="B37" s="494"/>
      <c r="C37" s="487"/>
      <c r="D37" s="487"/>
      <c r="E37" s="487"/>
      <c r="F37" s="489"/>
      <c r="G37" s="487"/>
      <c r="H37" s="487"/>
      <c r="I37" s="487"/>
      <c r="J37" s="487"/>
      <c r="K37" s="489"/>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05"/>
      <c r="AO37" s="505"/>
      <c r="AP37" s="505"/>
      <c r="AQ37" s="505"/>
      <c r="AR37" s="505"/>
      <c r="AS37" s="505"/>
      <c r="AT37" s="505"/>
      <c r="AU37" s="505"/>
      <c r="AV37" s="505"/>
      <c r="AW37" s="505"/>
      <c r="AX37" s="505"/>
      <c r="AY37" s="505"/>
      <c r="AZ37" s="505"/>
      <c r="BA37" s="505"/>
      <c r="BB37" s="505"/>
      <c r="BC37" s="505"/>
      <c r="BD37" s="505"/>
    </row>
    <row r="38" spans="1:56" ht="9.9499999999999993" customHeight="1">
      <c r="A38" s="505"/>
      <c r="B38" s="494"/>
      <c r="C38" s="487"/>
      <c r="D38" s="487"/>
      <c r="E38" s="487"/>
      <c r="F38" s="489"/>
      <c r="G38" s="487"/>
      <c r="H38" s="487"/>
      <c r="I38" s="487"/>
      <c r="J38" s="487"/>
      <c r="K38" s="489"/>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5"/>
      <c r="AK38" s="505"/>
      <c r="AL38" s="505"/>
      <c r="AM38" s="505"/>
      <c r="AN38" s="505"/>
      <c r="AO38" s="505"/>
      <c r="AP38" s="505"/>
      <c r="AQ38" s="505"/>
      <c r="AR38" s="505"/>
      <c r="AS38" s="505"/>
      <c r="AT38" s="505"/>
      <c r="AU38" s="505"/>
      <c r="AV38" s="505"/>
      <c r="AW38" s="505"/>
      <c r="AX38" s="505"/>
      <c r="AY38" s="505"/>
      <c r="AZ38" s="505"/>
      <c r="BA38" s="505"/>
      <c r="BB38" s="505"/>
      <c r="BC38" s="505"/>
      <c r="BD38" s="505"/>
    </row>
    <row r="39" spans="1:56" ht="9.9499999999999993" customHeight="1">
      <c r="A39" s="505"/>
      <c r="B39" s="494"/>
      <c r="C39" s="487"/>
      <c r="D39" s="487"/>
      <c r="E39" s="487"/>
      <c r="F39" s="489"/>
      <c r="G39" s="487"/>
      <c r="H39" s="487"/>
      <c r="I39" s="487"/>
      <c r="J39" s="487"/>
      <c r="K39" s="489"/>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5"/>
      <c r="AY39" s="505"/>
      <c r="AZ39" s="505"/>
      <c r="BA39" s="505"/>
      <c r="BB39" s="505"/>
      <c r="BC39" s="505"/>
      <c r="BD39" s="505"/>
    </row>
    <row r="40" spans="1:56" ht="9.9499999999999993" customHeight="1">
      <c r="A40" s="505"/>
      <c r="B40" s="494"/>
      <c r="C40" s="487"/>
      <c r="D40" s="487"/>
      <c r="E40" s="487"/>
      <c r="F40" s="489"/>
      <c r="G40" s="487"/>
      <c r="H40" s="487"/>
      <c r="I40" s="487"/>
      <c r="J40" s="487"/>
      <c r="K40" s="489"/>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row>
    <row r="41" spans="1:56" ht="9.9499999999999993" customHeight="1">
      <c r="A41" s="505"/>
      <c r="B41" s="494"/>
      <c r="C41" s="487"/>
      <c r="D41" s="487"/>
      <c r="E41" s="487"/>
      <c r="F41" s="489"/>
      <c r="G41" s="487"/>
      <c r="H41" s="487"/>
      <c r="I41" s="487"/>
      <c r="J41" s="487"/>
      <c r="K41" s="489"/>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row>
    <row r="42" spans="1:56" ht="9.9499999999999993" customHeight="1">
      <c r="A42" s="505"/>
      <c r="B42" s="494"/>
      <c r="C42" s="487"/>
      <c r="D42" s="487"/>
      <c r="E42" s="487"/>
      <c r="F42" s="489"/>
      <c r="G42" s="487"/>
      <c r="H42" s="487"/>
      <c r="I42" s="487"/>
      <c r="J42" s="487"/>
      <c r="K42" s="489"/>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row>
    <row r="43" spans="1:56" ht="9.9499999999999993" customHeight="1" thickBot="1">
      <c r="A43" s="505"/>
      <c r="B43" s="495"/>
      <c r="C43" s="492"/>
      <c r="D43" s="492"/>
      <c r="E43" s="492"/>
      <c r="F43" s="496"/>
      <c r="G43" s="492"/>
      <c r="H43" s="492"/>
      <c r="I43" s="492"/>
      <c r="J43" s="492"/>
      <c r="K43" s="496"/>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row>
    <row r="44" spans="1:56" ht="9.9499999999999993" customHeight="1">
      <c r="A44" s="505"/>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row>
    <row r="45" spans="1:56" ht="9.9499999999999993" customHeight="1">
      <c r="A45" s="505"/>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row>
    <row r="46" spans="1:56" ht="9.9499999999999993" customHeight="1">
      <c r="A46" s="505"/>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row>
    <row r="47" spans="1:56" ht="9.9499999999999993" customHeight="1">
      <c r="A47" s="505"/>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row>
    <row r="48" spans="1:56" ht="9.9499999999999993" customHeight="1">
      <c r="A48" s="505"/>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row>
    <row r="49" spans="1:56" ht="9.9499999999999993" customHeight="1">
      <c r="A49" s="505"/>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row>
    <row r="50" spans="1:56" ht="9.9499999999999993" customHeight="1">
      <c r="A50" s="505"/>
      <c r="B50" s="505"/>
      <c r="C50" s="505"/>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505"/>
      <c r="AE50" s="505"/>
      <c r="AF50" s="505"/>
      <c r="AG50" s="505"/>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row>
    <row r="51" spans="1:56" ht="9.9499999999999993" customHeight="1">
      <c r="A51" s="505"/>
      <c r="B51" s="505"/>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row>
    <row r="52" spans="1:56" ht="9.9499999999999993" customHeight="1">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row>
    <row r="53" spans="1:56" ht="9.9499999999999993" customHeight="1">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row>
    <row r="54" spans="1:56" ht="9.9499999999999993" customHeight="1">
      <c r="A54" s="505"/>
      <c r="B54" s="505"/>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row>
    <row r="55" spans="1:56" ht="9.9499999999999993"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row>
    <row r="56" spans="1:56" ht="9.9499999999999993" customHeight="1">
      <c r="A56" s="505"/>
      <c r="B56" s="505"/>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row>
    <row r="57" spans="1:56" ht="9.9499999999999993" customHeight="1">
      <c r="A57" s="505"/>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row>
    <row r="58" spans="1:56" ht="9.9499999999999993" customHeight="1">
      <c r="A58" s="505"/>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row>
    <row r="59" spans="1:56" ht="9.9499999999999993" customHeight="1">
      <c r="A59" s="505"/>
      <c r="B59" s="505"/>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row>
    <row r="60" spans="1:56" ht="9.9499999999999993" customHeight="1">
      <c r="A60" s="505"/>
      <c r="B60" s="505"/>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row>
    <row r="61" spans="1:56" ht="9.9499999999999993" customHeight="1">
      <c r="A61" s="505"/>
      <c r="B61" s="505"/>
      <c r="C61" s="505"/>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505"/>
      <c r="AE61" s="505"/>
      <c r="AF61" s="505"/>
      <c r="AG61" s="505"/>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row>
    <row r="62" spans="1:56" ht="9.9499999999999993" customHeight="1">
      <c r="A62" s="505"/>
      <c r="B62" s="505"/>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row>
    <row r="63" spans="1:56" ht="9.9499999999999993" customHeight="1">
      <c r="A63" s="505"/>
      <c r="B63" s="505"/>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c r="AE63" s="505"/>
      <c r="AF63" s="505"/>
      <c r="AG63" s="505"/>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row>
    <row r="64" spans="1:56" ht="9.9499999999999993" customHeight="1">
      <c r="A64" s="505"/>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row>
    <row r="65" spans="1:56" ht="9.9499999999999993" customHeight="1">
      <c r="A65" s="505"/>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row>
    <row r="66" spans="1:56" ht="9.9499999999999993" customHeight="1">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row>
    <row r="67" spans="1:56" ht="9.9499999999999993" customHeight="1">
      <c r="A67" s="505"/>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row>
    <row r="68" spans="1:56" ht="9.9499999999999993" customHeight="1">
      <c r="A68" s="505"/>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row>
    <row r="69" spans="1:56" ht="9.9499999999999993" customHeight="1">
      <c r="A69" s="505"/>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row>
    <row r="70" spans="1:56" ht="9.9499999999999993" customHeight="1">
      <c r="A70" s="505"/>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505"/>
      <c r="AE70" s="505"/>
      <c r="AF70" s="505"/>
      <c r="AG70" s="505"/>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row>
    <row r="71" spans="1:56" ht="9.9499999999999993" customHeight="1">
      <c r="A71" s="505"/>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c r="AG71" s="505"/>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row>
    <row r="72" spans="1:56" ht="9.9499999999999993" customHeight="1">
      <c r="A72" s="505"/>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c r="AG72" s="505"/>
      <c r="AH72" s="505"/>
      <c r="AI72" s="505"/>
      <c r="AJ72" s="505"/>
      <c r="AK72" s="505"/>
      <c r="AL72" s="505"/>
      <c r="AM72" s="505"/>
      <c r="AN72" s="505"/>
      <c r="AO72" s="505"/>
      <c r="AP72" s="505"/>
      <c r="AQ72" s="505"/>
      <c r="AR72" s="505"/>
      <c r="AS72" s="505"/>
      <c r="AT72" s="505"/>
      <c r="AU72" s="505"/>
      <c r="AV72" s="505"/>
      <c r="AW72" s="505"/>
      <c r="AX72" s="505"/>
      <c r="AY72" s="505"/>
      <c r="AZ72" s="505"/>
      <c r="BA72" s="505"/>
      <c r="BB72" s="505"/>
      <c r="BC72" s="505"/>
      <c r="BD72" s="505"/>
    </row>
    <row r="73" spans="1:56" ht="9.9499999999999993" customHeight="1">
      <c r="A73" s="505"/>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c r="AM73" s="505"/>
      <c r="AN73" s="505"/>
      <c r="AO73" s="505"/>
      <c r="AP73" s="505"/>
      <c r="AQ73" s="505"/>
      <c r="AR73" s="505"/>
      <c r="AS73" s="505"/>
      <c r="AT73" s="505"/>
      <c r="AU73" s="505"/>
      <c r="AV73" s="505"/>
      <c r="AW73" s="505"/>
      <c r="AX73" s="505"/>
      <c r="AY73" s="505"/>
      <c r="AZ73" s="505"/>
      <c r="BA73" s="505"/>
      <c r="BB73" s="505"/>
      <c r="BC73" s="505"/>
      <c r="BD73" s="505"/>
    </row>
    <row r="74" spans="1:56" ht="9.9499999999999993" customHeight="1">
      <c r="A74" s="505"/>
      <c r="B74" s="505"/>
      <c r="C74" s="505"/>
      <c r="D74" s="505"/>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c r="AE74" s="505"/>
      <c r="AF74" s="505"/>
      <c r="AG74" s="505"/>
      <c r="AH74" s="505"/>
      <c r="AI74" s="505"/>
      <c r="AJ74" s="505"/>
      <c r="AK74" s="505"/>
      <c r="AL74" s="505"/>
      <c r="AM74" s="505"/>
      <c r="AN74" s="505"/>
      <c r="AO74" s="505"/>
      <c r="AP74" s="505"/>
      <c r="AQ74" s="505"/>
      <c r="AR74" s="505"/>
      <c r="AS74" s="505"/>
      <c r="AT74" s="505"/>
      <c r="AU74" s="505"/>
      <c r="AV74" s="505"/>
      <c r="AW74" s="505"/>
      <c r="AX74" s="505"/>
      <c r="AY74" s="505"/>
      <c r="AZ74" s="505"/>
      <c r="BA74" s="505"/>
      <c r="BB74" s="505"/>
      <c r="BC74" s="505"/>
      <c r="BD74" s="505"/>
    </row>
    <row r="75" spans="1:56" ht="9.9499999999999993" customHeight="1">
      <c r="A75" s="505"/>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c r="AG75" s="505"/>
      <c r="AH75" s="505"/>
      <c r="AI75" s="505"/>
      <c r="AJ75" s="505"/>
      <c r="AK75" s="505"/>
      <c r="AL75" s="505"/>
      <c r="AM75" s="505"/>
      <c r="AN75" s="505"/>
      <c r="AO75" s="505"/>
      <c r="AP75" s="505"/>
      <c r="AQ75" s="505"/>
      <c r="AR75" s="505"/>
      <c r="AS75" s="505"/>
      <c r="AT75" s="505"/>
      <c r="AU75" s="505"/>
      <c r="AV75" s="505"/>
      <c r="AW75" s="505"/>
      <c r="AX75" s="505"/>
      <c r="AY75" s="505"/>
      <c r="AZ75" s="505"/>
      <c r="BA75" s="505"/>
      <c r="BB75" s="505"/>
      <c r="BC75" s="505"/>
      <c r="BD75" s="505"/>
    </row>
    <row r="76" spans="1:56" ht="9.9499999999999993" customHeight="1">
      <c r="A76" s="505"/>
      <c r="B76" s="505"/>
      <c r="C76" s="505"/>
      <c r="D76" s="505"/>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505"/>
      <c r="AE76" s="505"/>
      <c r="AF76" s="505"/>
      <c r="AG76" s="505"/>
      <c r="AH76" s="505"/>
      <c r="AI76" s="505"/>
      <c r="AJ76" s="505"/>
      <c r="AK76" s="505"/>
      <c r="AL76" s="505"/>
      <c r="AM76" s="505"/>
      <c r="AN76" s="505"/>
      <c r="AO76" s="505"/>
      <c r="AP76" s="505"/>
      <c r="AQ76" s="505"/>
      <c r="AR76" s="505"/>
      <c r="AS76" s="505"/>
      <c r="AT76" s="505"/>
      <c r="AU76" s="505"/>
      <c r="AV76" s="505"/>
      <c r="AW76" s="505"/>
      <c r="AX76" s="505"/>
      <c r="AY76" s="505"/>
      <c r="AZ76" s="505"/>
      <c r="BA76" s="505"/>
      <c r="BB76" s="505"/>
      <c r="BC76" s="505"/>
      <c r="BD76" s="505"/>
    </row>
    <row r="77" spans="1:56" ht="9.9499999999999993" customHeight="1">
      <c r="A77" s="505"/>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c r="AM77" s="505"/>
      <c r="AN77" s="505"/>
      <c r="AO77" s="505"/>
      <c r="AP77" s="505"/>
      <c r="AQ77" s="505"/>
      <c r="AR77" s="505"/>
      <c r="AS77" s="505"/>
      <c r="AT77" s="505"/>
      <c r="AU77" s="505"/>
      <c r="AV77" s="505"/>
      <c r="AW77" s="505"/>
      <c r="AX77" s="505"/>
      <c r="AY77" s="505"/>
      <c r="AZ77" s="505"/>
      <c r="BA77" s="505"/>
      <c r="BB77" s="505"/>
      <c r="BC77" s="505"/>
      <c r="BD77" s="505"/>
    </row>
    <row r="78" spans="1:56" ht="9.9499999999999993" customHeight="1">
      <c r="A78" s="505"/>
      <c r="B78" s="505"/>
      <c r="C78" s="505"/>
      <c r="D78" s="505"/>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505"/>
      <c r="AE78" s="505"/>
      <c r="AF78" s="505"/>
      <c r="AG78" s="505"/>
      <c r="AH78" s="505"/>
      <c r="AI78" s="505"/>
      <c r="AJ78" s="505"/>
      <c r="AK78" s="505"/>
      <c r="AL78" s="505"/>
      <c r="AM78" s="505"/>
      <c r="AN78" s="505"/>
      <c r="AO78" s="505"/>
      <c r="AP78" s="505"/>
      <c r="AQ78" s="505"/>
      <c r="AR78" s="505"/>
      <c r="AS78" s="505"/>
      <c r="AT78" s="505"/>
      <c r="AU78" s="505"/>
      <c r="AV78" s="505"/>
      <c r="AW78" s="505"/>
      <c r="AX78" s="505"/>
      <c r="AY78" s="505"/>
      <c r="AZ78" s="505"/>
      <c r="BA78" s="505"/>
      <c r="BB78" s="505"/>
      <c r="BC78" s="505"/>
      <c r="BD78" s="505"/>
    </row>
    <row r="79" spans="1:56" ht="9.9499999999999993" customHeight="1">
      <c r="A79" s="505"/>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505"/>
      <c r="AL79" s="505"/>
      <c r="AM79" s="505"/>
      <c r="AN79" s="505"/>
      <c r="AO79" s="505"/>
      <c r="AP79" s="505"/>
      <c r="AQ79" s="505"/>
      <c r="AR79" s="505"/>
      <c r="AS79" s="505"/>
      <c r="AT79" s="505"/>
      <c r="AU79" s="505"/>
      <c r="AV79" s="505"/>
      <c r="AW79" s="505"/>
      <c r="AX79" s="505"/>
      <c r="AY79" s="505"/>
      <c r="AZ79" s="505"/>
      <c r="BA79" s="505"/>
      <c r="BB79" s="505"/>
      <c r="BC79" s="505"/>
      <c r="BD79" s="505"/>
    </row>
    <row r="80" spans="1:56" ht="9.9499999999999993" customHeight="1">
      <c r="A80" s="505"/>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c r="AM80" s="505"/>
      <c r="AN80" s="505"/>
      <c r="AO80" s="505"/>
      <c r="AP80" s="505"/>
      <c r="AQ80" s="505"/>
      <c r="AR80" s="505"/>
      <c r="AS80" s="505"/>
      <c r="AT80" s="505"/>
      <c r="AU80" s="505"/>
      <c r="AV80" s="505"/>
      <c r="AW80" s="505"/>
      <c r="AX80" s="505"/>
      <c r="AY80" s="505"/>
      <c r="AZ80" s="505"/>
      <c r="BA80" s="505"/>
      <c r="BB80" s="505"/>
      <c r="BC80" s="505"/>
      <c r="BD80" s="505"/>
    </row>
    <row r="81" spans="1:56" ht="9.9499999999999993" customHeight="1">
      <c r="A81" s="505"/>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c r="AM81" s="505"/>
      <c r="AN81" s="505"/>
      <c r="AO81" s="505"/>
      <c r="AP81" s="505"/>
      <c r="AQ81" s="505"/>
      <c r="AR81" s="505"/>
      <c r="AS81" s="505"/>
      <c r="AT81" s="505"/>
      <c r="AU81" s="505"/>
      <c r="AV81" s="505"/>
      <c r="AW81" s="505"/>
      <c r="AX81" s="505"/>
      <c r="AY81" s="505"/>
      <c r="AZ81" s="505"/>
      <c r="BA81" s="505"/>
      <c r="BB81" s="505"/>
      <c r="BC81" s="505"/>
      <c r="BD81" s="505"/>
    </row>
    <row r="82" spans="1:56" ht="9.9499999999999993" customHeight="1">
      <c r="A82" s="505"/>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P82" s="505"/>
      <c r="AQ82" s="505"/>
      <c r="AR82" s="505"/>
      <c r="AS82" s="505"/>
      <c r="AT82" s="505"/>
      <c r="AU82" s="505"/>
      <c r="AV82" s="505"/>
      <c r="AW82" s="505"/>
      <c r="AX82" s="505"/>
      <c r="AY82" s="505"/>
      <c r="AZ82" s="505"/>
      <c r="BA82" s="505"/>
      <c r="BB82" s="505"/>
      <c r="BC82" s="505"/>
      <c r="BD82" s="505"/>
    </row>
    <row r="83" spans="1:56" ht="9.9499999999999993" customHeight="1">
      <c r="A83" s="505"/>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505"/>
      <c r="AN83" s="505"/>
      <c r="AO83" s="505"/>
      <c r="AP83" s="505"/>
      <c r="AQ83" s="505"/>
      <c r="AR83" s="505"/>
      <c r="AS83" s="505"/>
      <c r="AT83" s="505"/>
      <c r="AU83" s="505"/>
      <c r="AV83" s="505"/>
      <c r="AW83" s="505"/>
      <c r="AX83" s="505"/>
      <c r="AY83" s="505"/>
      <c r="AZ83" s="505"/>
      <c r="BA83" s="505"/>
      <c r="BB83" s="505"/>
      <c r="BC83" s="505"/>
      <c r="BD83" s="505"/>
    </row>
    <row r="84" spans="1:56" ht="9.9499999999999993" customHeight="1">
      <c r="A84" s="505"/>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5"/>
      <c r="AN84" s="505"/>
      <c r="AO84" s="505"/>
      <c r="AP84" s="505"/>
      <c r="AQ84" s="505"/>
      <c r="AR84" s="505"/>
      <c r="AS84" s="505"/>
      <c r="AT84" s="505"/>
      <c r="AU84" s="505"/>
      <c r="AV84" s="505"/>
      <c r="AW84" s="505"/>
      <c r="AX84" s="505"/>
      <c r="AY84" s="505"/>
      <c r="AZ84" s="505"/>
      <c r="BA84" s="505"/>
      <c r="BB84" s="505"/>
      <c r="BC84" s="505"/>
      <c r="BD84" s="505"/>
    </row>
    <row r="85" spans="1:56" ht="9.9499999999999993" customHeight="1">
      <c r="A85" s="505"/>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P85" s="505"/>
      <c r="AQ85" s="505"/>
      <c r="AR85" s="505"/>
      <c r="AS85" s="505"/>
      <c r="AT85" s="505"/>
      <c r="AU85" s="505"/>
      <c r="AV85" s="505"/>
      <c r="AW85" s="505"/>
      <c r="AX85" s="505"/>
      <c r="AY85" s="505"/>
      <c r="AZ85" s="505"/>
      <c r="BA85" s="505"/>
      <c r="BB85" s="505"/>
      <c r="BC85" s="505"/>
      <c r="BD85" s="505"/>
    </row>
    <row r="86" spans="1:56" ht="9.9499999999999993" customHeight="1">
      <c r="A86" s="505"/>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c r="AG86" s="505"/>
      <c r="AH86" s="505"/>
      <c r="AI86" s="505"/>
      <c r="AJ86" s="505"/>
      <c r="AK86" s="505"/>
      <c r="AL86" s="505"/>
      <c r="AM86" s="505"/>
      <c r="AN86" s="505"/>
      <c r="AO86" s="505"/>
      <c r="AP86" s="505"/>
      <c r="AQ86" s="505"/>
      <c r="AR86" s="505"/>
      <c r="AS86" s="505"/>
      <c r="AT86" s="505"/>
      <c r="AU86" s="505"/>
      <c r="AV86" s="505"/>
      <c r="AW86" s="505"/>
      <c r="AX86" s="505"/>
      <c r="AY86" s="505"/>
      <c r="AZ86" s="505"/>
      <c r="BA86" s="505"/>
      <c r="BB86" s="505"/>
      <c r="BC86" s="505"/>
      <c r="BD86" s="505"/>
    </row>
    <row r="87" spans="1:56" ht="9.9499999999999993" customHeight="1">
      <c r="A87" s="505"/>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c r="AG87" s="505"/>
      <c r="AH87" s="505"/>
      <c r="AI87" s="505"/>
      <c r="AJ87" s="505"/>
      <c r="AK87" s="505"/>
      <c r="AL87" s="505"/>
      <c r="AM87" s="505"/>
      <c r="AN87" s="505"/>
      <c r="AO87" s="505"/>
      <c r="AP87" s="505"/>
      <c r="AQ87" s="505"/>
      <c r="AR87" s="505"/>
      <c r="AS87" s="505"/>
      <c r="AT87" s="505"/>
      <c r="AU87" s="505"/>
      <c r="AV87" s="505"/>
      <c r="AW87" s="505"/>
      <c r="AX87" s="505"/>
      <c r="AY87" s="505"/>
      <c r="AZ87" s="505"/>
      <c r="BA87" s="505"/>
      <c r="BB87" s="505"/>
      <c r="BC87" s="505"/>
      <c r="BD87" s="505"/>
    </row>
    <row r="88" spans="1:56" ht="9.9499999999999993" customHeight="1">
      <c r="A88" s="505"/>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c r="AG88" s="505"/>
      <c r="AH88" s="505"/>
      <c r="AI88" s="505"/>
      <c r="AJ88" s="505"/>
      <c r="AK88" s="505"/>
      <c r="AL88" s="505"/>
      <c r="AM88" s="505"/>
      <c r="AN88" s="505"/>
      <c r="AO88" s="505"/>
      <c r="AP88" s="505"/>
      <c r="AQ88" s="505"/>
      <c r="AR88" s="505"/>
      <c r="AS88" s="505"/>
      <c r="AT88" s="505"/>
      <c r="AU88" s="505"/>
      <c r="AV88" s="505"/>
      <c r="AW88" s="505"/>
      <c r="AX88" s="505"/>
      <c r="AY88" s="505"/>
      <c r="AZ88" s="505"/>
      <c r="BA88" s="505"/>
      <c r="BB88" s="505"/>
      <c r="BC88" s="505"/>
      <c r="BD88" s="505"/>
    </row>
    <row r="89" spans="1:56" ht="9.9499999999999993" customHeight="1">
      <c r="A89" s="505"/>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P89" s="505"/>
      <c r="AQ89" s="505"/>
      <c r="AR89" s="505"/>
      <c r="AS89" s="505"/>
      <c r="AT89" s="505"/>
      <c r="AU89" s="505"/>
      <c r="AV89" s="505"/>
      <c r="AW89" s="505"/>
      <c r="AX89" s="505"/>
      <c r="AY89" s="505"/>
      <c r="AZ89" s="505"/>
      <c r="BA89" s="505"/>
      <c r="BB89" s="505"/>
      <c r="BC89" s="505"/>
      <c r="BD89" s="505"/>
    </row>
    <row r="90" spans="1:56" ht="9.9499999999999993" customHeight="1">
      <c r="A90" s="505"/>
      <c r="B90" s="505"/>
      <c r="C90" s="505"/>
      <c r="D90" s="505"/>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505"/>
      <c r="AE90" s="505"/>
      <c r="AF90" s="505"/>
      <c r="AG90" s="505"/>
      <c r="AH90" s="505"/>
      <c r="AI90" s="505"/>
      <c r="AJ90" s="505"/>
      <c r="AK90" s="505"/>
      <c r="AL90" s="505"/>
      <c r="AM90" s="505"/>
      <c r="AN90" s="505"/>
      <c r="AO90" s="505"/>
      <c r="AP90" s="505"/>
      <c r="AQ90" s="505"/>
      <c r="AR90" s="505"/>
      <c r="AS90" s="505"/>
      <c r="AT90" s="505"/>
      <c r="AU90" s="505"/>
      <c r="AV90" s="505"/>
      <c r="AW90" s="505"/>
      <c r="AX90" s="505"/>
      <c r="AY90" s="505"/>
      <c r="AZ90" s="505"/>
      <c r="BA90" s="505"/>
      <c r="BB90" s="505"/>
      <c r="BC90" s="505"/>
      <c r="BD90" s="505"/>
    </row>
    <row r="91" spans="1:56" ht="9.9499999999999993" customHeight="1">
      <c r="A91" s="505"/>
      <c r="B91" s="505"/>
      <c r="C91" s="505"/>
      <c r="D91" s="505"/>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505"/>
      <c r="AE91" s="505"/>
      <c r="AF91" s="505"/>
      <c r="AG91" s="505"/>
      <c r="AH91" s="505"/>
      <c r="AI91" s="505"/>
      <c r="AJ91" s="505"/>
      <c r="AK91" s="505"/>
      <c r="AL91" s="505"/>
      <c r="AM91" s="505"/>
      <c r="AN91" s="505"/>
      <c r="AO91" s="505"/>
      <c r="AP91" s="505"/>
      <c r="AQ91" s="505"/>
      <c r="AR91" s="505"/>
      <c r="AS91" s="505"/>
      <c r="AT91" s="505"/>
      <c r="AU91" s="505"/>
      <c r="AV91" s="505"/>
      <c r="AW91" s="505"/>
      <c r="AX91" s="505"/>
      <c r="AY91" s="505"/>
      <c r="AZ91" s="505"/>
      <c r="BA91" s="505"/>
      <c r="BB91" s="505"/>
      <c r="BC91" s="505"/>
      <c r="BD91" s="505"/>
    </row>
    <row r="92" spans="1:56" ht="9.9499999999999993" customHeight="1">
      <c r="A92" s="505"/>
      <c r="B92" s="505"/>
      <c r="C92" s="505"/>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505"/>
      <c r="AY92" s="505"/>
      <c r="AZ92" s="505"/>
      <c r="BA92" s="505"/>
      <c r="BB92" s="505"/>
      <c r="BC92" s="505"/>
      <c r="BD92" s="505"/>
    </row>
    <row r="93" spans="1:56" ht="9.9499999999999993" customHeight="1">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505"/>
      <c r="AY93" s="505"/>
      <c r="AZ93" s="505"/>
      <c r="BA93" s="505"/>
      <c r="BB93" s="505"/>
      <c r="BC93" s="505"/>
      <c r="BD93" s="505"/>
    </row>
    <row r="94" spans="1:56" ht="9.9499999999999993" customHeight="1">
      <c r="A94" s="505"/>
      <c r="B94" s="505"/>
      <c r="C94" s="505"/>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c r="AG94" s="505"/>
      <c r="AH94" s="505"/>
      <c r="AI94" s="505"/>
      <c r="AJ94" s="505"/>
      <c r="AK94" s="505"/>
      <c r="AL94" s="505"/>
      <c r="AM94" s="505"/>
      <c r="AN94" s="505"/>
      <c r="AO94" s="505"/>
      <c r="AP94" s="505"/>
      <c r="AQ94" s="505"/>
      <c r="AR94" s="505"/>
      <c r="AS94" s="505"/>
      <c r="AT94" s="505"/>
      <c r="AU94" s="505"/>
      <c r="AV94" s="505"/>
      <c r="AW94" s="505"/>
      <c r="AX94" s="505"/>
      <c r="AY94" s="505"/>
      <c r="AZ94" s="505"/>
      <c r="BA94" s="505"/>
      <c r="BB94" s="505"/>
      <c r="BC94" s="505"/>
      <c r="BD94" s="505"/>
    </row>
    <row r="95" spans="1:56" ht="9.9499999999999993" customHeight="1">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row>
    <row r="96" spans="1:56" ht="9.9499999999999993" customHeight="1">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c r="AM96" s="505"/>
      <c r="AN96" s="505"/>
      <c r="AO96" s="505"/>
      <c r="AP96" s="505"/>
      <c r="AQ96" s="505"/>
      <c r="AR96" s="505"/>
      <c r="AS96" s="505"/>
      <c r="AT96" s="505"/>
      <c r="AU96" s="505"/>
      <c r="AV96" s="505"/>
      <c r="AW96" s="505"/>
      <c r="AX96" s="505"/>
      <c r="AY96" s="505"/>
      <c r="AZ96" s="505"/>
      <c r="BA96" s="505"/>
      <c r="BB96" s="505"/>
      <c r="BC96" s="505"/>
      <c r="BD96" s="505"/>
    </row>
    <row r="97" spans="1:56" ht="9.9499999999999993" customHeight="1">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505"/>
      <c r="AD97" s="505"/>
      <c r="AE97" s="505"/>
      <c r="AF97" s="505"/>
      <c r="AG97" s="505"/>
      <c r="AH97" s="505"/>
      <c r="AI97" s="505"/>
      <c r="AJ97" s="505"/>
      <c r="AK97" s="505"/>
      <c r="AL97" s="505"/>
      <c r="AM97" s="505"/>
      <c r="AN97" s="505"/>
      <c r="AO97" s="505"/>
      <c r="AP97" s="505"/>
      <c r="AQ97" s="505"/>
      <c r="AR97" s="505"/>
      <c r="AS97" s="505"/>
      <c r="AT97" s="505"/>
      <c r="AU97" s="505"/>
      <c r="AV97" s="505"/>
      <c r="AW97" s="505"/>
      <c r="AX97" s="505"/>
      <c r="AY97" s="505"/>
      <c r="AZ97" s="505"/>
      <c r="BA97" s="505"/>
      <c r="BB97" s="505"/>
      <c r="BC97" s="505"/>
      <c r="BD97" s="505"/>
    </row>
    <row r="98" spans="1:56" ht="9.9499999999999993" customHeight="1">
      <c r="A98" s="505"/>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505"/>
      <c r="AE98" s="505"/>
      <c r="AF98" s="505"/>
      <c r="AG98" s="505"/>
      <c r="AH98" s="505"/>
      <c r="AI98" s="505"/>
      <c r="AJ98" s="505"/>
      <c r="AK98" s="505"/>
      <c r="AL98" s="505"/>
      <c r="AM98" s="505"/>
      <c r="AN98" s="505"/>
      <c r="AO98" s="505"/>
      <c r="AP98" s="505"/>
      <c r="AQ98" s="505"/>
      <c r="AR98" s="505"/>
      <c r="AS98" s="505"/>
      <c r="AT98" s="505"/>
      <c r="AU98" s="505"/>
      <c r="AV98" s="505"/>
      <c r="AW98" s="505"/>
      <c r="AX98" s="505"/>
      <c r="AY98" s="505"/>
      <c r="AZ98" s="505"/>
      <c r="BA98" s="505"/>
      <c r="BB98" s="505"/>
      <c r="BC98" s="505"/>
      <c r="BD98" s="505"/>
    </row>
    <row r="99" spans="1:56" ht="9.9499999999999993" customHeight="1">
      <c r="A99" s="505"/>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row>
    <row r="100" spans="1:56" ht="9.9499999999999993" customHeight="1">
      <c r="A100" s="505"/>
      <c r="B100" s="505"/>
      <c r="C100" s="505"/>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505"/>
      <c r="AE100" s="505"/>
      <c r="AF100" s="505"/>
      <c r="AG100" s="505"/>
      <c r="AH100" s="505"/>
      <c r="AI100" s="505"/>
      <c r="AJ100" s="505"/>
      <c r="AK100" s="505"/>
      <c r="AL100" s="505"/>
      <c r="AM100" s="505"/>
      <c r="AN100" s="505"/>
      <c r="AO100" s="505"/>
      <c r="AP100" s="505"/>
      <c r="AQ100" s="505"/>
      <c r="AR100" s="505"/>
      <c r="AS100" s="505"/>
      <c r="AT100" s="505"/>
      <c r="AU100" s="505"/>
      <c r="AV100" s="505"/>
      <c r="AW100" s="505"/>
      <c r="AX100" s="505"/>
      <c r="AY100" s="505"/>
      <c r="AZ100" s="505"/>
      <c r="BA100" s="505"/>
      <c r="BB100" s="505"/>
      <c r="BC100" s="505"/>
      <c r="BD100" s="505"/>
    </row>
    <row r="101" spans="1:56" ht="9.9499999999999993" customHeight="1">
      <c r="A101" s="505"/>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5"/>
      <c r="AE101" s="505"/>
      <c r="AF101" s="505"/>
      <c r="AG101" s="505"/>
      <c r="AH101" s="505"/>
      <c r="AI101" s="505"/>
      <c r="AJ101" s="505"/>
      <c r="AK101" s="505"/>
      <c r="AL101" s="505"/>
      <c r="AM101" s="505"/>
      <c r="AN101" s="505"/>
      <c r="AO101" s="505"/>
      <c r="AP101" s="505"/>
      <c r="AQ101" s="505"/>
      <c r="AR101" s="505"/>
      <c r="AS101" s="505"/>
      <c r="AT101" s="505"/>
      <c r="AU101" s="505"/>
      <c r="AV101" s="505"/>
      <c r="AW101" s="505"/>
      <c r="AX101" s="505"/>
      <c r="AY101" s="505"/>
      <c r="AZ101" s="505"/>
      <c r="BA101" s="505"/>
      <c r="BB101" s="505"/>
      <c r="BC101" s="505"/>
      <c r="BD101" s="505"/>
    </row>
    <row r="102" spans="1:56" ht="9.9499999999999993" customHeight="1">
      <c r="A102" s="505"/>
      <c r="B102" s="505"/>
      <c r="C102" s="50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505"/>
      <c r="AE102" s="505"/>
      <c r="AF102" s="505"/>
      <c r="AG102" s="505"/>
      <c r="AH102" s="505"/>
      <c r="AI102" s="505"/>
      <c r="AJ102" s="505"/>
      <c r="AK102" s="505"/>
      <c r="AL102" s="505"/>
      <c r="AM102" s="505"/>
      <c r="AN102" s="505"/>
      <c r="AO102" s="505"/>
      <c r="AP102" s="505"/>
      <c r="AQ102" s="505"/>
      <c r="AR102" s="505"/>
      <c r="AS102" s="505"/>
      <c r="AT102" s="505"/>
      <c r="AU102" s="505"/>
      <c r="AV102" s="505"/>
      <c r="AW102" s="505"/>
      <c r="AX102" s="505"/>
      <c r="AY102" s="505"/>
      <c r="AZ102" s="505"/>
      <c r="BA102" s="505"/>
      <c r="BB102" s="505"/>
      <c r="BC102" s="505"/>
      <c r="BD102" s="505"/>
    </row>
    <row r="103" spans="1:56" ht="9.9499999999999993" customHeight="1">
      <c r="A103" s="505"/>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5"/>
      <c r="AV103" s="505"/>
      <c r="AW103" s="505"/>
      <c r="AX103" s="505"/>
      <c r="AY103" s="505"/>
      <c r="AZ103" s="505"/>
      <c r="BA103" s="505"/>
      <c r="BB103" s="505"/>
      <c r="BC103" s="505"/>
      <c r="BD103" s="505"/>
    </row>
    <row r="104" spans="1:56" ht="9.9499999999999993" customHeight="1">
      <c r="A104" s="505"/>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row>
    <row r="105" spans="1:56" ht="9.9499999999999993" customHeight="1">
      <c r="A105" s="505"/>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c r="AG105" s="505"/>
      <c r="AH105" s="505"/>
      <c r="AI105" s="505"/>
      <c r="AJ105" s="505"/>
      <c r="AK105" s="505"/>
      <c r="AL105" s="505"/>
      <c r="AM105" s="505"/>
      <c r="AN105" s="505"/>
      <c r="AO105" s="505"/>
      <c r="AP105" s="505"/>
      <c r="AQ105" s="505"/>
      <c r="AR105" s="505"/>
      <c r="AS105" s="505"/>
      <c r="AT105" s="505"/>
      <c r="AU105" s="505"/>
      <c r="AV105" s="505"/>
      <c r="AW105" s="505"/>
      <c r="AX105" s="505"/>
      <c r="AY105" s="505"/>
      <c r="AZ105" s="505"/>
      <c r="BA105" s="505"/>
      <c r="BB105" s="505"/>
      <c r="BC105" s="505"/>
      <c r="BD105" s="505"/>
    </row>
    <row r="106" spans="1:56" ht="9.9499999999999993" customHeight="1">
      <c r="A106" s="505"/>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c r="AG106" s="505"/>
      <c r="AH106" s="505"/>
      <c r="AI106" s="505"/>
      <c r="AJ106" s="505"/>
      <c r="AK106" s="505"/>
      <c r="AL106" s="505"/>
      <c r="AM106" s="505"/>
      <c r="AN106" s="505"/>
      <c r="AO106" s="505"/>
      <c r="AP106" s="505"/>
      <c r="AQ106" s="505"/>
      <c r="AR106" s="505"/>
      <c r="AS106" s="505"/>
      <c r="AT106" s="505"/>
      <c r="AU106" s="505"/>
      <c r="AV106" s="505"/>
      <c r="AW106" s="505"/>
      <c r="AX106" s="505"/>
      <c r="AY106" s="505"/>
      <c r="AZ106" s="505"/>
      <c r="BA106" s="505"/>
      <c r="BB106" s="505"/>
      <c r="BC106" s="505"/>
      <c r="BD106" s="505"/>
    </row>
    <row r="107" spans="1:56" ht="9.9499999999999993"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505"/>
      <c r="AG107" s="505"/>
      <c r="AH107" s="505"/>
      <c r="AI107" s="505"/>
      <c r="AJ107" s="505"/>
      <c r="AK107" s="505"/>
      <c r="AL107" s="505"/>
      <c r="AM107" s="505"/>
      <c r="AN107" s="505"/>
      <c r="AO107" s="505"/>
      <c r="AP107" s="505"/>
      <c r="AQ107" s="505"/>
      <c r="AR107" s="505"/>
      <c r="AS107" s="505"/>
      <c r="AT107" s="505"/>
      <c r="AU107" s="505"/>
      <c r="AV107" s="505"/>
      <c r="AW107" s="505"/>
      <c r="AX107" s="505"/>
      <c r="AY107" s="505"/>
      <c r="AZ107" s="505"/>
      <c r="BA107" s="505"/>
      <c r="BB107" s="505"/>
      <c r="BC107" s="505"/>
      <c r="BD107" s="505"/>
    </row>
    <row r="108" spans="1:56" ht="9.9499999999999993" customHeight="1">
      <c r="A108" s="505"/>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505"/>
      <c r="AE108" s="505"/>
      <c r="AF108" s="505"/>
      <c r="AG108" s="505"/>
      <c r="AH108" s="505"/>
      <c r="AI108" s="505"/>
      <c r="AJ108" s="505"/>
      <c r="AK108" s="505"/>
      <c r="AL108" s="505"/>
      <c r="AM108" s="505"/>
      <c r="AN108" s="505"/>
      <c r="AO108" s="505"/>
      <c r="AP108" s="505"/>
      <c r="AQ108" s="505"/>
      <c r="AR108" s="505"/>
      <c r="AS108" s="505"/>
      <c r="AT108" s="505"/>
      <c r="AU108" s="505"/>
      <c r="AV108" s="505"/>
      <c r="AW108" s="505"/>
      <c r="AX108" s="505"/>
      <c r="AY108" s="505"/>
      <c r="AZ108" s="505"/>
      <c r="BA108" s="505"/>
      <c r="BB108" s="505"/>
      <c r="BC108" s="505"/>
      <c r="BD108" s="505"/>
    </row>
    <row r="109" spans="1:56" ht="9.9499999999999993" customHeight="1">
      <c r="A109" s="505"/>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5"/>
      <c r="AN109" s="505"/>
      <c r="AO109" s="505"/>
      <c r="AP109" s="505"/>
      <c r="AQ109" s="505"/>
      <c r="AR109" s="505"/>
      <c r="AS109" s="505"/>
      <c r="AT109" s="505"/>
      <c r="AU109" s="505"/>
      <c r="AV109" s="505"/>
      <c r="AW109" s="505"/>
      <c r="AX109" s="505"/>
      <c r="AY109" s="505"/>
      <c r="AZ109" s="505"/>
      <c r="BA109" s="505"/>
      <c r="BB109" s="505"/>
      <c r="BC109" s="505"/>
      <c r="BD109" s="505"/>
    </row>
    <row r="110" spans="1:56" ht="9.9499999999999993" customHeight="1">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row>
    <row r="111" spans="1:56" ht="9.9499999999999993" customHeight="1">
      <c r="A111" s="505"/>
      <c r="B111" s="505"/>
      <c r="C111" s="505"/>
      <c r="D111" s="505"/>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505"/>
      <c r="AD111" s="505"/>
      <c r="AE111" s="505"/>
      <c r="AF111" s="505"/>
      <c r="AG111" s="505"/>
      <c r="AH111" s="505"/>
      <c r="AI111" s="505"/>
      <c r="AJ111" s="505"/>
      <c r="AK111" s="505"/>
      <c r="AL111" s="505"/>
      <c r="AM111" s="505"/>
      <c r="AN111" s="505"/>
      <c r="AO111" s="505"/>
      <c r="AP111" s="505"/>
      <c r="AQ111" s="505"/>
      <c r="AR111" s="505"/>
      <c r="AS111" s="505"/>
      <c r="AT111" s="505"/>
      <c r="AU111" s="505"/>
      <c r="AV111" s="505"/>
      <c r="AW111" s="505"/>
      <c r="AX111" s="505"/>
      <c r="AY111" s="505"/>
      <c r="AZ111" s="505"/>
      <c r="BA111" s="505"/>
      <c r="BB111" s="505"/>
      <c r="BC111" s="505"/>
      <c r="BD111" s="505"/>
    </row>
    <row r="112" spans="1:56" ht="9.9499999999999993" customHeight="1">
      <c r="A112" s="505"/>
      <c r="B112" s="505"/>
      <c r="C112" s="505"/>
      <c r="D112" s="505"/>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505"/>
      <c r="AD112" s="505"/>
      <c r="AE112" s="505"/>
      <c r="AF112" s="505"/>
      <c r="AG112" s="505"/>
      <c r="AH112" s="505"/>
      <c r="AI112" s="505"/>
      <c r="AJ112" s="505"/>
      <c r="AK112" s="505"/>
      <c r="AL112" s="505"/>
      <c r="AM112" s="505"/>
      <c r="AN112" s="505"/>
      <c r="AO112" s="505"/>
      <c r="AP112" s="505"/>
      <c r="AQ112" s="505"/>
      <c r="AR112" s="505"/>
      <c r="AS112" s="505"/>
      <c r="AT112" s="505"/>
      <c r="AU112" s="505"/>
      <c r="AV112" s="505"/>
      <c r="AW112" s="505"/>
      <c r="AX112" s="505"/>
      <c r="AY112" s="505"/>
      <c r="AZ112" s="505"/>
      <c r="BA112" s="505"/>
      <c r="BB112" s="505"/>
      <c r="BC112" s="505"/>
      <c r="BD112" s="505"/>
    </row>
    <row r="113" spans="1:56" ht="9.9499999999999993" customHeight="1">
      <c r="A113" s="50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5"/>
      <c r="AV113" s="505"/>
      <c r="AW113" s="505"/>
      <c r="AX113" s="505"/>
      <c r="AY113" s="505"/>
      <c r="AZ113" s="505"/>
      <c r="BA113" s="505"/>
      <c r="BB113" s="505"/>
      <c r="BC113" s="505"/>
      <c r="BD113" s="505"/>
    </row>
    <row r="114" spans="1:56" ht="9.9499999999999993" customHeight="1">
      <c r="A114" s="505"/>
      <c r="B114" s="505"/>
      <c r="C114" s="505"/>
      <c r="D114" s="505"/>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505"/>
      <c r="AD114" s="505"/>
      <c r="AE114" s="505"/>
      <c r="AF114" s="505"/>
      <c r="AG114" s="505"/>
      <c r="AH114" s="505"/>
      <c r="AI114" s="505"/>
      <c r="AJ114" s="505"/>
      <c r="AK114" s="505"/>
      <c r="AL114" s="505"/>
      <c r="AM114" s="505"/>
      <c r="AN114" s="505"/>
      <c r="AO114" s="505"/>
      <c r="AP114" s="505"/>
      <c r="AQ114" s="505"/>
      <c r="AR114" s="505"/>
      <c r="AS114" s="505"/>
      <c r="AT114" s="505"/>
      <c r="AU114" s="505"/>
      <c r="AV114" s="505"/>
      <c r="AW114" s="505"/>
      <c r="AX114" s="505"/>
      <c r="AY114" s="505"/>
      <c r="AZ114" s="505"/>
      <c r="BA114" s="505"/>
      <c r="BB114" s="505"/>
      <c r="BC114" s="505"/>
      <c r="BD114" s="505"/>
    </row>
    <row r="115" spans="1:56" ht="9.9499999999999993" customHeight="1">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505"/>
      <c r="AE115" s="505"/>
      <c r="AF115" s="505"/>
      <c r="AG115" s="505"/>
      <c r="AH115" s="505"/>
      <c r="AI115" s="505"/>
      <c r="AJ115" s="505"/>
      <c r="AK115" s="505"/>
      <c r="AL115" s="505"/>
      <c r="AM115" s="505"/>
      <c r="AN115" s="505"/>
      <c r="AO115" s="505"/>
      <c r="AP115" s="505"/>
      <c r="AQ115" s="505"/>
      <c r="AR115" s="505"/>
      <c r="AS115" s="505"/>
      <c r="AT115" s="505"/>
      <c r="AU115" s="505"/>
      <c r="AV115" s="505"/>
      <c r="AW115" s="505"/>
      <c r="AX115" s="505"/>
      <c r="AY115" s="505"/>
      <c r="AZ115" s="505"/>
      <c r="BA115" s="505"/>
      <c r="BB115" s="505"/>
      <c r="BC115" s="505"/>
      <c r="BD115" s="505"/>
    </row>
    <row r="116" spans="1:56" ht="9.9499999999999993" customHeight="1">
      <c r="A116" s="505"/>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5"/>
      <c r="AE116" s="505"/>
      <c r="AF116" s="505"/>
      <c r="AG116" s="505"/>
      <c r="AH116" s="505"/>
      <c r="AI116" s="505"/>
      <c r="AJ116" s="505"/>
      <c r="AK116" s="505"/>
      <c r="AL116" s="505"/>
      <c r="AM116" s="505"/>
      <c r="AN116" s="505"/>
      <c r="AO116" s="505"/>
      <c r="AP116" s="505"/>
      <c r="AQ116" s="505"/>
      <c r="AR116" s="505"/>
      <c r="AS116" s="505"/>
      <c r="AT116" s="505"/>
      <c r="AU116" s="505"/>
      <c r="AV116" s="505"/>
      <c r="AW116" s="505"/>
      <c r="AX116" s="505"/>
      <c r="AY116" s="505"/>
      <c r="AZ116" s="505"/>
      <c r="BA116" s="505"/>
      <c r="BB116" s="505"/>
      <c r="BC116" s="505"/>
      <c r="BD116" s="505"/>
    </row>
    <row r="117" spans="1:56" ht="9.9499999999999993" customHeight="1">
      <c r="A117" s="505"/>
      <c r="B117" s="505"/>
      <c r="C117" s="505"/>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505"/>
      <c r="AE117" s="505"/>
      <c r="AF117" s="505"/>
      <c r="AG117" s="505"/>
      <c r="AH117" s="505"/>
      <c r="AI117" s="505"/>
      <c r="AJ117" s="505"/>
      <c r="AK117" s="505"/>
      <c r="AL117" s="505"/>
      <c r="AM117" s="505"/>
      <c r="AN117" s="505"/>
      <c r="AO117" s="505"/>
      <c r="AP117" s="505"/>
      <c r="AQ117" s="505"/>
      <c r="AR117" s="505"/>
      <c r="AS117" s="505"/>
      <c r="AT117" s="505"/>
      <c r="AU117" s="505"/>
      <c r="AV117" s="505"/>
      <c r="AW117" s="505"/>
      <c r="AX117" s="505"/>
      <c r="AY117" s="505"/>
      <c r="AZ117" s="505"/>
      <c r="BA117" s="505"/>
      <c r="BB117" s="505"/>
      <c r="BC117" s="505"/>
      <c r="BD117" s="505"/>
    </row>
    <row r="118" spans="1:56" ht="9.9499999999999993" customHeight="1">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row>
    <row r="119" spans="1:56" ht="9.9499999999999993" customHeight="1">
      <c r="A119" s="505"/>
      <c r="B119" s="505"/>
      <c r="C119" s="505"/>
      <c r="D119" s="505"/>
      <c r="E119" s="505"/>
      <c r="F119" s="505"/>
      <c r="G119" s="505"/>
      <c r="H119" s="505"/>
      <c r="I119" s="505"/>
      <c r="J119" s="505"/>
      <c r="K119" s="505"/>
      <c r="L119" s="505"/>
      <c r="M119" s="505"/>
      <c r="N119" s="505"/>
      <c r="O119" s="505"/>
      <c r="P119" s="505"/>
      <c r="Q119" s="505"/>
      <c r="R119" s="505"/>
      <c r="S119" s="505"/>
      <c r="T119" s="505"/>
      <c r="U119" s="505"/>
      <c r="V119" s="505"/>
      <c r="W119" s="505"/>
      <c r="X119" s="505"/>
      <c r="Y119" s="505"/>
      <c r="Z119" s="505"/>
      <c r="AA119" s="505"/>
      <c r="AB119" s="505"/>
      <c r="AC119" s="505"/>
      <c r="AD119" s="505"/>
      <c r="AE119" s="505"/>
      <c r="AF119" s="505"/>
      <c r="AG119" s="505"/>
      <c r="AH119" s="505"/>
      <c r="AI119" s="505"/>
      <c r="AJ119" s="505"/>
      <c r="AK119" s="505"/>
      <c r="AL119" s="505"/>
      <c r="AM119" s="505"/>
      <c r="AN119" s="505"/>
      <c r="AO119" s="505"/>
      <c r="AP119" s="505"/>
      <c r="AQ119" s="505"/>
      <c r="AR119" s="505"/>
      <c r="AS119" s="505"/>
      <c r="AT119" s="505"/>
      <c r="AU119" s="505"/>
      <c r="AV119" s="505"/>
      <c r="AW119" s="505"/>
      <c r="AX119" s="505"/>
      <c r="AY119" s="505"/>
      <c r="AZ119" s="505"/>
      <c r="BA119" s="505"/>
      <c r="BB119" s="505"/>
      <c r="BC119" s="505"/>
      <c r="BD119" s="505"/>
    </row>
    <row r="120" spans="1:56" ht="9.9499999999999993" customHeight="1">
      <c r="A120" s="505"/>
      <c r="B120" s="505"/>
      <c r="C120" s="505"/>
      <c r="D120" s="505"/>
      <c r="E120" s="505"/>
      <c r="F120" s="505"/>
      <c r="G120" s="505"/>
      <c r="H120" s="505"/>
      <c r="I120" s="505"/>
      <c r="J120" s="505"/>
      <c r="K120" s="505"/>
      <c r="L120" s="505"/>
      <c r="M120" s="505"/>
      <c r="N120" s="505"/>
      <c r="O120" s="505"/>
      <c r="P120" s="505"/>
      <c r="Q120" s="505"/>
      <c r="R120" s="505"/>
      <c r="S120" s="505"/>
      <c r="T120" s="505"/>
      <c r="U120" s="505"/>
      <c r="V120" s="505"/>
      <c r="W120" s="505"/>
      <c r="X120" s="505"/>
      <c r="Y120" s="505"/>
      <c r="Z120" s="505"/>
      <c r="AA120" s="505"/>
      <c r="AB120" s="505"/>
      <c r="AC120" s="505"/>
      <c r="AD120" s="505"/>
      <c r="AE120" s="505"/>
      <c r="AF120" s="505"/>
      <c r="AG120" s="505"/>
      <c r="AH120" s="505"/>
      <c r="AI120" s="505"/>
      <c r="AJ120" s="505"/>
      <c r="AK120" s="505"/>
      <c r="AL120" s="505"/>
      <c r="AM120" s="505"/>
      <c r="AN120" s="505"/>
      <c r="AO120" s="505"/>
      <c r="AP120" s="505"/>
      <c r="AQ120" s="505"/>
      <c r="AR120" s="505"/>
      <c r="AS120" s="505"/>
      <c r="AT120" s="505"/>
      <c r="AU120" s="505"/>
      <c r="AV120" s="505"/>
      <c r="AW120" s="505"/>
      <c r="AX120" s="505"/>
      <c r="AY120" s="505"/>
      <c r="AZ120" s="505"/>
      <c r="BA120" s="505"/>
      <c r="BB120" s="505"/>
      <c r="BC120" s="505"/>
      <c r="BD120" s="505"/>
    </row>
    <row r="121" spans="1:56" ht="9.9499999999999993" customHeight="1">
      <c r="A121" s="505"/>
      <c r="B121" s="505"/>
      <c r="C121" s="505"/>
      <c r="D121" s="505"/>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505"/>
      <c r="AE121" s="505"/>
      <c r="AF121" s="505"/>
      <c r="AG121" s="505"/>
      <c r="AH121" s="505"/>
      <c r="AI121" s="505"/>
      <c r="AJ121" s="505"/>
      <c r="AK121" s="505"/>
      <c r="AL121" s="505"/>
      <c r="AM121" s="505"/>
      <c r="AN121" s="505"/>
      <c r="AO121" s="505"/>
      <c r="AP121" s="505"/>
      <c r="AQ121" s="505"/>
      <c r="AR121" s="505"/>
      <c r="AS121" s="505"/>
      <c r="AT121" s="505"/>
      <c r="AU121" s="505"/>
      <c r="AV121" s="505"/>
      <c r="AW121" s="505"/>
      <c r="AX121" s="505"/>
      <c r="AY121" s="505"/>
      <c r="AZ121" s="505"/>
      <c r="BA121" s="505"/>
      <c r="BB121" s="505"/>
      <c r="BC121" s="505"/>
      <c r="BD121" s="505"/>
    </row>
    <row r="122" spans="1:56" ht="9.9499999999999993" customHeight="1">
      <c r="A122" s="505"/>
      <c r="B122" s="505"/>
      <c r="C122" s="505"/>
      <c r="D122" s="505"/>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505"/>
      <c r="AE122" s="505"/>
      <c r="AF122" s="505"/>
      <c r="AG122" s="505"/>
      <c r="AH122" s="505"/>
      <c r="AI122" s="505"/>
      <c r="AJ122" s="505"/>
      <c r="AK122" s="505"/>
      <c r="AL122" s="505"/>
      <c r="AM122" s="505"/>
      <c r="AN122" s="505"/>
      <c r="AO122" s="505"/>
      <c r="AP122" s="505"/>
      <c r="AQ122" s="505"/>
      <c r="AR122" s="505"/>
      <c r="AS122" s="505"/>
      <c r="AT122" s="505"/>
      <c r="AU122" s="505"/>
      <c r="AV122" s="505"/>
      <c r="AW122" s="505"/>
      <c r="AX122" s="505"/>
      <c r="AY122" s="505"/>
      <c r="AZ122" s="505"/>
      <c r="BA122" s="505"/>
      <c r="BB122" s="505"/>
      <c r="BC122" s="505"/>
      <c r="BD122" s="505"/>
    </row>
    <row r="123" spans="1:56" ht="9.9499999999999993" customHeight="1">
      <c r="A123" s="505"/>
      <c r="B123" s="505"/>
      <c r="C123" s="505"/>
      <c r="D123" s="505"/>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c r="AG123" s="505"/>
      <c r="AH123" s="505"/>
      <c r="AI123" s="505"/>
      <c r="AJ123" s="505"/>
      <c r="AK123" s="505"/>
      <c r="AL123" s="505"/>
      <c r="AM123" s="505"/>
      <c r="AN123" s="505"/>
      <c r="AO123" s="505"/>
      <c r="AP123" s="505"/>
      <c r="AQ123" s="505"/>
      <c r="AR123" s="505"/>
      <c r="AS123" s="505"/>
      <c r="AT123" s="505"/>
      <c r="AU123" s="505"/>
      <c r="AV123" s="505"/>
      <c r="AW123" s="505"/>
      <c r="AX123" s="505"/>
      <c r="AY123" s="505"/>
      <c r="AZ123" s="505"/>
      <c r="BA123" s="505"/>
      <c r="BB123" s="505"/>
      <c r="BC123" s="505"/>
      <c r="BD123" s="505"/>
    </row>
    <row r="124" spans="1:56" ht="9.9499999999999993" customHeight="1">
      <c r="A124" s="505"/>
      <c r="B124" s="505"/>
      <c r="C124" s="505"/>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c r="AG124" s="505"/>
      <c r="AH124" s="505"/>
      <c r="AI124" s="505"/>
      <c r="AJ124" s="505"/>
      <c r="AK124" s="505"/>
      <c r="AL124" s="505"/>
      <c r="AM124" s="505"/>
      <c r="AN124" s="505"/>
      <c r="AO124" s="505"/>
      <c r="AP124" s="505"/>
      <c r="AQ124" s="505"/>
      <c r="AR124" s="505"/>
      <c r="AS124" s="505"/>
      <c r="AT124" s="505"/>
      <c r="AU124" s="505"/>
      <c r="AV124" s="505"/>
      <c r="AW124" s="505"/>
      <c r="AX124" s="505"/>
      <c r="AY124" s="505"/>
      <c r="AZ124" s="505"/>
      <c r="BA124" s="505"/>
      <c r="BB124" s="505"/>
      <c r="BC124" s="505"/>
      <c r="BD124" s="505"/>
    </row>
    <row r="125" spans="1:56" ht="9.9499999999999993" customHeight="1">
      <c r="A125" s="505"/>
      <c r="B125" s="505"/>
      <c r="C125" s="505"/>
      <c r="D125" s="505"/>
      <c r="E125" s="505"/>
      <c r="F125" s="505"/>
      <c r="G125" s="505"/>
      <c r="H125" s="505"/>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row>
    <row r="126" spans="1:56" ht="9.9499999999999993" customHeight="1">
      <c r="A126" s="505"/>
      <c r="B126" s="505"/>
      <c r="C126" s="505"/>
      <c r="D126" s="505"/>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c r="AG126" s="505"/>
      <c r="AH126" s="505"/>
      <c r="AI126" s="505"/>
      <c r="AJ126" s="505"/>
      <c r="AK126" s="505"/>
      <c r="AL126" s="505"/>
      <c r="AM126" s="505"/>
      <c r="AN126" s="505"/>
      <c r="AO126" s="505"/>
      <c r="AP126" s="505"/>
      <c r="AQ126" s="505"/>
      <c r="AR126" s="505"/>
      <c r="AS126" s="505"/>
      <c r="AT126" s="505"/>
      <c r="AU126" s="505"/>
      <c r="AV126" s="505"/>
      <c r="AW126" s="505"/>
      <c r="AX126" s="505"/>
      <c r="AY126" s="505"/>
      <c r="AZ126" s="505"/>
      <c r="BA126" s="505"/>
      <c r="BB126" s="505"/>
      <c r="BC126" s="505"/>
      <c r="BD126" s="505"/>
    </row>
    <row r="127" spans="1:56" ht="9.9499999999999993" customHeight="1">
      <c r="A127" s="505"/>
      <c r="B127" s="505"/>
      <c r="C127" s="505"/>
      <c r="D127" s="505"/>
      <c r="E127" s="505"/>
      <c r="F127" s="505"/>
      <c r="G127" s="505"/>
      <c r="H127" s="505"/>
      <c r="I127" s="505"/>
      <c r="J127" s="505"/>
      <c r="K127" s="505"/>
      <c r="L127" s="505"/>
      <c r="M127" s="505"/>
      <c r="N127" s="505"/>
      <c r="O127" s="505"/>
      <c r="P127" s="505"/>
      <c r="Q127" s="505"/>
      <c r="R127" s="505"/>
      <c r="S127" s="505"/>
      <c r="T127" s="505"/>
      <c r="U127" s="505"/>
      <c r="V127" s="505"/>
      <c r="W127" s="505"/>
      <c r="X127" s="505"/>
      <c r="Y127" s="505"/>
      <c r="Z127" s="505"/>
      <c r="AA127" s="505"/>
      <c r="AB127" s="505"/>
      <c r="AC127" s="505"/>
      <c r="AD127" s="505"/>
      <c r="AE127" s="505"/>
      <c r="AF127" s="505"/>
      <c r="AG127" s="505"/>
      <c r="AH127" s="505"/>
      <c r="AI127" s="505"/>
      <c r="AJ127" s="505"/>
      <c r="AK127" s="505"/>
      <c r="AL127" s="505"/>
      <c r="AM127" s="505"/>
      <c r="AN127" s="505"/>
      <c r="AO127" s="505"/>
      <c r="AP127" s="505"/>
      <c r="AQ127" s="505"/>
      <c r="AR127" s="505"/>
      <c r="AS127" s="505"/>
      <c r="AT127" s="505"/>
      <c r="AU127" s="505"/>
      <c r="AV127" s="505"/>
      <c r="AW127" s="505"/>
      <c r="AX127" s="505"/>
      <c r="AY127" s="505"/>
      <c r="AZ127" s="505"/>
      <c r="BA127" s="505"/>
      <c r="BB127" s="505"/>
      <c r="BC127" s="505"/>
      <c r="BD127" s="505"/>
    </row>
    <row r="128" spans="1:56" ht="9.9499999999999993" customHeight="1">
      <c r="A128" s="505"/>
      <c r="B128" s="505"/>
      <c r="C128" s="505"/>
      <c r="D128" s="505"/>
      <c r="E128" s="505"/>
      <c r="F128" s="505"/>
      <c r="G128" s="505"/>
      <c r="H128" s="505"/>
      <c r="I128" s="505"/>
      <c r="J128" s="505"/>
      <c r="K128" s="505"/>
      <c r="L128" s="505"/>
      <c r="M128" s="505"/>
      <c r="N128" s="505"/>
      <c r="O128" s="505"/>
      <c r="P128" s="505"/>
      <c r="Q128" s="505"/>
      <c r="R128" s="505"/>
      <c r="S128" s="505"/>
      <c r="T128" s="505"/>
      <c r="U128" s="505"/>
      <c r="V128" s="505"/>
      <c r="W128" s="505"/>
      <c r="X128" s="505"/>
      <c r="Y128" s="505"/>
      <c r="Z128" s="505"/>
      <c r="AA128" s="505"/>
      <c r="AB128" s="505"/>
      <c r="AC128" s="505"/>
      <c r="AD128" s="505"/>
      <c r="AE128" s="505"/>
      <c r="AF128" s="505"/>
      <c r="AG128" s="505"/>
      <c r="AH128" s="505"/>
      <c r="AI128" s="505"/>
      <c r="AJ128" s="505"/>
      <c r="AK128" s="505"/>
      <c r="AL128" s="505"/>
      <c r="AM128" s="505"/>
      <c r="AN128" s="505"/>
      <c r="AO128" s="505"/>
      <c r="AP128" s="505"/>
      <c r="AQ128" s="505"/>
      <c r="AR128" s="505"/>
      <c r="AS128" s="505"/>
      <c r="AT128" s="505"/>
      <c r="AU128" s="505"/>
      <c r="AV128" s="505"/>
      <c r="AW128" s="505"/>
      <c r="AX128" s="505"/>
      <c r="AY128" s="505"/>
      <c r="AZ128" s="505"/>
      <c r="BA128" s="505"/>
      <c r="BB128" s="505"/>
      <c r="BC128" s="505"/>
      <c r="BD128" s="505"/>
    </row>
    <row r="129" spans="1:56" ht="9.9499999999999993" customHeight="1">
      <c r="A129" s="505"/>
      <c r="B129" s="505"/>
      <c r="C129" s="505"/>
      <c r="D129" s="505"/>
      <c r="E129" s="505"/>
      <c r="F129" s="505"/>
      <c r="G129" s="505"/>
      <c r="H129" s="505"/>
      <c r="I129" s="505"/>
      <c r="J129" s="505"/>
      <c r="K129" s="505"/>
      <c r="L129" s="505"/>
      <c r="M129" s="505"/>
      <c r="N129" s="505"/>
      <c r="O129" s="505"/>
      <c r="P129" s="505"/>
      <c r="Q129" s="505"/>
      <c r="R129" s="505"/>
      <c r="S129" s="505"/>
      <c r="T129" s="505"/>
      <c r="U129" s="505"/>
      <c r="V129" s="505"/>
      <c r="W129" s="505"/>
      <c r="X129" s="505"/>
      <c r="Y129" s="505"/>
      <c r="Z129" s="505"/>
      <c r="AA129" s="505"/>
      <c r="AB129" s="505"/>
      <c r="AC129" s="505"/>
      <c r="AD129" s="505"/>
      <c r="AE129" s="505"/>
      <c r="AF129" s="505"/>
      <c r="AG129" s="505"/>
      <c r="AH129" s="505"/>
      <c r="AI129" s="505"/>
      <c r="AJ129" s="505"/>
      <c r="AK129" s="505"/>
      <c r="AL129" s="505"/>
      <c r="AM129" s="505"/>
      <c r="AN129" s="505"/>
      <c r="AO129" s="505"/>
      <c r="AP129" s="505"/>
      <c r="AQ129" s="505"/>
      <c r="AR129" s="505"/>
      <c r="AS129" s="505"/>
      <c r="AT129" s="505"/>
      <c r="AU129" s="505"/>
      <c r="AV129" s="505"/>
      <c r="AW129" s="505"/>
      <c r="AX129" s="505"/>
      <c r="AY129" s="505"/>
      <c r="AZ129" s="505"/>
      <c r="BA129" s="505"/>
      <c r="BB129" s="505"/>
      <c r="BC129" s="505"/>
      <c r="BD129" s="505"/>
    </row>
    <row r="130" spans="1:56" ht="9.9499999999999993" customHeight="1">
      <c r="A130" s="505"/>
      <c r="B130" s="505"/>
      <c r="C130" s="505"/>
      <c r="D130" s="505"/>
      <c r="E130" s="505"/>
      <c r="F130" s="505"/>
      <c r="G130" s="505"/>
      <c r="H130" s="505"/>
      <c r="I130" s="505"/>
      <c r="J130" s="505"/>
      <c r="K130" s="505"/>
      <c r="L130" s="505"/>
      <c r="M130" s="505"/>
      <c r="N130" s="505"/>
      <c r="O130" s="505"/>
      <c r="P130" s="505"/>
      <c r="Q130" s="505"/>
      <c r="R130" s="505"/>
      <c r="S130" s="505"/>
      <c r="T130" s="505"/>
      <c r="U130" s="505"/>
      <c r="V130" s="505"/>
      <c r="W130" s="505"/>
      <c r="X130" s="505"/>
      <c r="Y130" s="505"/>
      <c r="Z130" s="505"/>
      <c r="AA130" s="505"/>
      <c r="AB130" s="505"/>
      <c r="AC130" s="505"/>
      <c r="AD130" s="505"/>
      <c r="AE130" s="505"/>
      <c r="AF130" s="505"/>
      <c r="AG130" s="505"/>
      <c r="AH130" s="505"/>
      <c r="AI130" s="505"/>
      <c r="AJ130" s="505"/>
      <c r="AK130" s="505"/>
      <c r="AL130" s="505"/>
      <c r="AM130" s="505"/>
      <c r="AN130" s="505"/>
      <c r="AO130" s="505"/>
      <c r="AP130" s="505"/>
      <c r="AQ130" s="505"/>
      <c r="AR130" s="505"/>
      <c r="AS130" s="505"/>
      <c r="AT130" s="505"/>
      <c r="AU130" s="505"/>
      <c r="AV130" s="505"/>
      <c r="AW130" s="505"/>
      <c r="AX130" s="505"/>
      <c r="AY130" s="505"/>
      <c r="AZ130" s="505"/>
      <c r="BA130" s="505"/>
      <c r="BB130" s="505"/>
      <c r="BC130" s="505"/>
      <c r="BD130" s="505"/>
    </row>
    <row r="131" spans="1:56" ht="9.9499999999999993" customHeight="1">
      <c r="A131" s="505"/>
      <c r="B131" s="505"/>
      <c r="C131" s="505"/>
      <c r="D131" s="505"/>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505"/>
      <c r="AE131" s="505"/>
      <c r="AF131" s="505"/>
      <c r="AG131" s="505"/>
      <c r="AH131" s="505"/>
      <c r="AI131" s="505"/>
      <c r="AJ131" s="505"/>
      <c r="AK131" s="505"/>
      <c r="AL131" s="505"/>
      <c r="AM131" s="505"/>
      <c r="AN131" s="505"/>
      <c r="AO131" s="505"/>
      <c r="AP131" s="505"/>
      <c r="AQ131" s="505"/>
      <c r="AR131" s="505"/>
      <c r="AS131" s="505"/>
      <c r="AT131" s="505"/>
      <c r="AU131" s="505"/>
      <c r="AV131" s="505"/>
      <c r="AW131" s="505"/>
      <c r="AX131" s="505"/>
      <c r="AY131" s="505"/>
      <c r="AZ131" s="505"/>
      <c r="BA131" s="505"/>
      <c r="BB131" s="505"/>
      <c r="BC131" s="505"/>
      <c r="BD131" s="505"/>
    </row>
    <row r="132" spans="1:56" ht="9.9499999999999993" customHeight="1">
      <c r="A132" s="505"/>
      <c r="B132" s="505"/>
      <c r="C132" s="505"/>
      <c r="D132" s="505"/>
      <c r="E132" s="505"/>
      <c r="F132" s="505"/>
      <c r="G132" s="505"/>
      <c r="H132" s="505"/>
      <c r="I132" s="505"/>
      <c r="J132" s="505"/>
      <c r="K132" s="505"/>
      <c r="L132" s="505"/>
      <c r="M132" s="505"/>
      <c r="N132" s="505"/>
      <c r="O132" s="505"/>
      <c r="P132" s="505"/>
      <c r="Q132" s="505"/>
      <c r="R132" s="505"/>
      <c r="S132" s="505"/>
      <c r="T132" s="505"/>
      <c r="U132" s="505"/>
      <c r="V132" s="505"/>
      <c r="W132" s="505"/>
      <c r="X132" s="505"/>
      <c r="Y132" s="505"/>
      <c r="Z132" s="505"/>
      <c r="AA132" s="505"/>
      <c r="AB132" s="505"/>
      <c r="AC132" s="505"/>
      <c r="AD132" s="505"/>
      <c r="AE132" s="505"/>
      <c r="AF132" s="505"/>
      <c r="AG132" s="505"/>
      <c r="AH132" s="505"/>
      <c r="AI132" s="505"/>
      <c r="AJ132" s="505"/>
      <c r="AK132" s="505"/>
      <c r="AL132" s="505"/>
      <c r="AM132" s="505"/>
      <c r="AN132" s="505"/>
      <c r="AO132" s="505"/>
      <c r="AP132" s="505"/>
      <c r="AQ132" s="505"/>
      <c r="AR132" s="505"/>
      <c r="AS132" s="505"/>
      <c r="AT132" s="505"/>
      <c r="AU132" s="505"/>
      <c r="AV132" s="505"/>
      <c r="AW132" s="505"/>
      <c r="AX132" s="505"/>
      <c r="AY132" s="505"/>
      <c r="AZ132" s="505"/>
      <c r="BA132" s="505"/>
      <c r="BB132" s="505"/>
      <c r="BC132" s="505"/>
      <c r="BD132" s="505"/>
    </row>
    <row r="133" spans="1:56" ht="9.9499999999999993" customHeight="1">
      <c r="A133" s="505"/>
      <c r="B133" s="505"/>
      <c r="C133" s="505"/>
      <c r="D133" s="505"/>
      <c r="E133" s="505"/>
      <c r="F133" s="505"/>
      <c r="G133" s="505"/>
      <c r="H133" s="505"/>
      <c r="I133" s="505"/>
      <c r="J133" s="505"/>
      <c r="K133" s="505"/>
      <c r="L133" s="505"/>
      <c r="M133" s="505"/>
      <c r="N133" s="505"/>
      <c r="O133" s="505"/>
      <c r="P133" s="505"/>
      <c r="Q133" s="505"/>
      <c r="R133" s="505"/>
      <c r="S133" s="505"/>
      <c r="T133" s="505"/>
      <c r="U133" s="505"/>
      <c r="V133" s="505"/>
      <c r="W133" s="505"/>
      <c r="X133" s="505"/>
      <c r="Y133" s="505"/>
      <c r="Z133" s="505"/>
      <c r="AA133" s="505"/>
      <c r="AB133" s="505"/>
      <c r="AC133" s="505"/>
      <c r="AD133" s="505"/>
      <c r="AE133" s="505"/>
      <c r="AF133" s="505"/>
      <c r="AG133" s="505"/>
      <c r="AH133" s="505"/>
      <c r="AI133" s="505"/>
      <c r="AJ133" s="505"/>
      <c r="AK133" s="505"/>
      <c r="AL133" s="505"/>
      <c r="AM133" s="505"/>
      <c r="AN133" s="505"/>
      <c r="AO133" s="505"/>
      <c r="AP133" s="505"/>
      <c r="AQ133" s="505"/>
      <c r="AR133" s="505"/>
      <c r="AS133" s="505"/>
      <c r="AT133" s="505"/>
      <c r="AU133" s="505"/>
      <c r="AV133" s="505"/>
      <c r="AW133" s="505"/>
      <c r="AX133" s="505"/>
      <c r="AY133" s="505"/>
      <c r="AZ133" s="505"/>
      <c r="BA133" s="505"/>
      <c r="BB133" s="505"/>
      <c r="BC133" s="505"/>
      <c r="BD133" s="505"/>
    </row>
    <row r="134" spans="1:56" ht="9.9499999999999993" customHeight="1">
      <c r="A134" s="505"/>
      <c r="B134" s="505"/>
      <c r="C134" s="505"/>
      <c r="D134" s="505"/>
      <c r="E134" s="505"/>
      <c r="F134" s="505"/>
      <c r="G134" s="505"/>
      <c r="H134" s="505"/>
      <c r="I134" s="505"/>
      <c r="J134" s="505"/>
      <c r="K134" s="505"/>
      <c r="L134" s="505"/>
      <c r="M134" s="505"/>
      <c r="N134" s="505"/>
      <c r="O134" s="505"/>
      <c r="P134" s="505"/>
      <c r="Q134" s="505"/>
      <c r="R134" s="505"/>
      <c r="S134" s="505"/>
      <c r="T134" s="505"/>
      <c r="U134" s="505"/>
      <c r="V134" s="505"/>
      <c r="W134" s="505"/>
      <c r="X134" s="505"/>
      <c r="Y134" s="505"/>
      <c r="Z134" s="505"/>
      <c r="AA134" s="505"/>
      <c r="AB134" s="505"/>
      <c r="AC134" s="505"/>
      <c r="AD134" s="505"/>
      <c r="AE134" s="505"/>
      <c r="AF134" s="505"/>
      <c r="AG134" s="505"/>
      <c r="AH134" s="505"/>
      <c r="AI134" s="505"/>
      <c r="AJ134" s="505"/>
      <c r="AK134" s="505"/>
      <c r="AL134" s="505"/>
      <c r="AM134" s="505"/>
      <c r="AN134" s="505"/>
      <c r="AO134" s="505"/>
      <c r="AP134" s="505"/>
      <c r="AQ134" s="505"/>
      <c r="AR134" s="505"/>
      <c r="AS134" s="505"/>
      <c r="AT134" s="505"/>
      <c r="AU134" s="505"/>
      <c r="AV134" s="505"/>
      <c r="AW134" s="505"/>
      <c r="AX134" s="505"/>
      <c r="AY134" s="505"/>
      <c r="AZ134" s="505"/>
      <c r="BA134" s="505"/>
      <c r="BB134" s="505"/>
      <c r="BC134" s="505"/>
      <c r="BD134" s="505"/>
    </row>
    <row r="135" spans="1:56" ht="9.9499999999999993" customHeight="1">
      <c r="A135" s="505"/>
      <c r="B135" s="505"/>
      <c r="C135" s="505"/>
      <c r="D135" s="505"/>
      <c r="E135" s="505"/>
      <c r="F135" s="505"/>
      <c r="G135" s="505"/>
      <c r="H135" s="505"/>
      <c r="I135" s="505"/>
      <c r="J135" s="505"/>
      <c r="K135" s="505"/>
      <c r="L135" s="505"/>
      <c r="M135" s="505"/>
      <c r="N135" s="505"/>
      <c r="O135" s="505"/>
      <c r="P135" s="505"/>
      <c r="Q135" s="505"/>
      <c r="R135" s="505"/>
      <c r="S135" s="505"/>
      <c r="T135" s="505"/>
      <c r="U135" s="505"/>
      <c r="V135" s="505"/>
      <c r="W135" s="505"/>
      <c r="X135" s="505"/>
      <c r="Y135" s="505"/>
      <c r="Z135" s="505"/>
      <c r="AA135" s="505"/>
      <c r="AB135" s="505"/>
      <c r="AC135" s="505"/>
      <c r="AD135" s="505"/>
      <c r="AE135" s="505"/>
      <c r="AF135" s="505"/>
      <c r="AG135" s="505"/>
      <c r="AH135" s="505"/>
      <c r="AI135" s="505"/>
      <c r="AJ135" s="505"/>
      <c r="AK135" s="505"/>
      <c r="AL135" s="505"/>
      <c r="AM135" s="505"/>
      <c r="AN135" s="505"/>
      <c r="AO135" s="505"/>
      <c r="AP135" s="505"/>
      <c r="AQ135" s="505"/>
      <c r="AR135" s="505"/>
      <c r="AS135" s="505"/>
      <c r="AT135" s="505"/>
      <c r="AU135" s="505"/>
      <c r="AV135" s="505"/>
      <c r="AW135" s="505"/>
      <c r="AX135" s="505"/>
      <c r="AY135" s="505"/>
      <c r="AZ135" s="505"/>
      <c r="BA135" s="505"/>
      <c r="BB135" s="505"/>
      <c r="BC135" s="505"/>
      <c r="BD135" s="505"/>
    </row>
    <row r="136" spans="1:56" ht="9.9499999999999993" customHeight="1">
      <c r="A136" s="505"/>
      <c r="B136" s="505"/>
      <c r="C136" s="505"/>
      <c r="D136" s="505"/>
      <c r="E136" s="505"/>
      <c r="F136" s="505"/>
      <c r="G136" s="505"/>
      <c r="H136" s="505"/>
      <c r="I136" s="505"/>
      <c r="J136" s="505"/>
      <c r="K136" s="505"/>
      <c r="L136" s="505"/>
      <c r="M136" s="505"/>
      <c r="N136" s="505"/>
      <c r="O136" s="505"/>
      <c r="P136" s="505"/>
      <c r="Q136" s="505"/>
      <c r="R136" s="505"/>
      <c r="S136" s="505"/>
      <c r="T136" s="505"/>
      <c r="U136" s="505"/>
      <c r="V136" s="505"/>
      <c r="W136" s="505"/>
      <c r="X136" s="505"/>
      <c r="Y136" s="505"/>
      <c r="Z136" s="505"/>
      <c r="AA136" s="505"/>
      <c r="AB136" s="505"/>
      <c r="AC136" s="505"/>
      <c r="AD136" s="505"/>
      <c r="AE136" s="505"/>
      <c r="AF136" s="505"/>
      <c r="AG136" s="505"/>
      <c r="AH136" s="505"/>
      <c r="AI136" s="505"/>
      <c r="AJ136" s="505"/>
      <c r="AK136" s="505"/>
      <c r="AL136" s="505"/>
      <c r="AM136" s="505"/>
      <c r="AN136" s="505"/>
      <c r="AO136" s="505"/>
      <c r="AP136" s="505"/>
      <c r="AQ136" s="505"/>
      <c r="AR136" s="505"/>
      <c r="AS136" s="505"/>
      <c r="AT136" s="505"/>
      <c r="AU136" s="505"/>
      <c r="AV136" s="505"/>
      <c r="AW136" s="505"/>
      <c r="AX136" s="505"/>
      <c r="AY136" s="505"/>
      <c r="AZ136" s="505"/>
      <c r="BA136" s="505"/>
      <c r="BB136" s="505"/>
      <c r="BC136" s="505"/>
      <c r="BD136" s="505"/>
    </row>
    <row r="137" spans="1:56" ht="9.9499999999999993" customHeight="1">
      <c r="A137" s="505"/>
      <c r="B137" s="505"/>
      <c r="C137" s="505"/>
      <c r="D137" s="505"/>
      <c r="E137" s="505"/>
      <c r="F137" s="505"/>
      <c r="G137" s="505"/>
      <c r="H137" s="505"/>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row>
    <row r="138" spans="1:56" ht="9.9499999999999993" customHeight="1">
      <c r="A138" s="505"/>
      <c r="B138" s="505"/>
      <c r="C138" s="505"/>
      <c r="D138" s="505"/>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505"/>
      <c r="AE138" s="505"/>
      <c r="AF138" s="505"/>
      <c r="AG138" s="505"/>
      <c r="AH138" s="505"/>
      <c r="AI138" s="505"/>
      <c r="AJ138" s="505"/>
      <c r="AK138" s="505"/>
      <c r="AL138" s="505"/>
      <c r="AM138" s="505"/>
      <c r="AN138" s="505"/>
      <c r="AO138" s="505"/>
      <c r="AP138" s="505"/>
      <c r="AQ138" s="505"/>
      <c r="AR138" s="505"/>
      <c r="AS138" s="505"/>
      <c r="AT138" s="505"/>
      <c r="AU138" s="505"/>
      <c r="AV138" s="505"/>
      <c r="AW138" s="505"/>
      <c r="AX138" s="505"/>
      <c r="AY138" s="505"/>
      <c r="AZ138" s="505"/>
      <c r="BA138" s="505"/>
      <c r="BB138" s="505"/>
      <c r="BC138" s="505"/>
      <c r="BD138" s="505"/>
    </row>
    <row r="139" spans="1:56" ht="9.9499999999999993" customHeight="1">
      <c r="A139" s="505"/>
      <c r="B139" s="505"/>
      <c r="C139" s="505"/>
      <c r="D139" s="505"/>
      <c r="E139" s="505"/>
      <c r="F139" s="505"/>
      <c r="G139" s="505"/>
      <c r="H139" s="505"/>
      <c r="I139" s="505"/>
      <c r="J139" s="505"/>
      <c r="K139" s="505"/>
      <c r="L139" s="505"/>
      <c r="M139" s="505"/>
      <c r="N139" s="505"/>
      <c r="O139" s="505"/>
      <c r="P139" s="505"/>
      <c r="Q139" s="505"/>
      <c r="R139" s="505"/>
      <c r="S139" s="505"/>
      <c r="T139" s="505"/>
      <c r="U139" s="505"/>
      <c r="V139" s="505"/>
      <c r="W139" s="505"/>
      <c r="X139" s="505"/>
      <c r="Y139" s="505"/>
      <c r="Z139" s="505"/>
      <c r="AA139" s="505"/>
      <c r="AB139" s="505"/>
      <c r="AC139" s="505"/>
      <c r="AD139" s="505"/>
      <c r="AE139" s="505"/>
      <c r="AF139" s="505"/>
      <c r="AG139" s="505"/>
      <c r="AH139" s="505"/>
      <c r="AI139" s="505"/>
      <c r="AJ139" s="505"/>
      <c r="AK139" s="505"/>
      <c r="AL139" s="505"/>
      <c r="AM139" s="505"/>
      <c r="AN139" s="505"/>
      <c r="AO139" s="505"/>
      <c r="AP139" s="505"/>
      <c r="AQ139" s="505"/>
      <c r="AR139" s="505"/>
      <c r="AS139" s="505"/>
      <c r="AT139" s="505"/>
      <c r="AU139" s="505"/>
      <c r="AV139" s="505"/>
      <c r="AW139" s="505"/>
      <c r="AX139" s="505"/>
      <c r="AY139" s="505"/>
      <c r="AZ139" s="505"/>
      <c r="BA139" s="505"/>
      <c r="BB139" s="505"/>
      <c r="BC139" s="505"/>
      <c r="BD139" s="505"/>
    </row>
    <row r="140" spans="1:56" ht="9.9499999999999993" customHeight="1">
      <c r="A140" s="505"/>
      <c r="B140" s="505"/>
      <c r="C140" s="505"/>
      <c r="D140" s="505"/>
      <c r="E140" s="505"/>
      <c r="F140" s="505"/>
      <c r="G140" s="505"/>
      <c r="H140" s="505"/>
      <c r="I140" s="505"/>
      <c r="J140" s="505"/>
      <c r="K140" s="505"/>
      <c r="L140" s="505"/>
      <c r="M140" s="505"/>
      <c r="N140" s="505"/>
      <c r="O140" s="505"/>
      <c r="P140" s="505"/>
      <c r="Q140" s="505"/>
      <c r="R140" s="505"/>
      <c r="S140" s="505"/>
      <c r="T140" s="505"/>
      <c r="U140" s="505"/>
      <c r="V140" s="505"/>
      <c r="W140" s="505"/>
      <c r="X140" s="505"/>
      <c r="Y140" s="505"/>
      <c r="Z140" s="505"/>
      <c r="AA140" s="505"/>
      <c r="AB140" s="505"/>
      <c r="AC140" s="505"/>
      <c r="AD140" s="505"/>
      <c r="AE140" s="505"/>
      <c r="AF140" s="505"/>
      <c r="AG140" s="505"/>
      <c r="AH140" s="505"/>
      <c r="AI140" s="505"/>
      <c r="AJ140" s="505"/>
      <c r="AK140" s="505"/>
      <c r="AL140" s="505"/>
      <c r="AM140" s="505"/>
      <c r="AN140" s="505"/>
      <c r="AO140" s="505"/>
      <c r="AP140" s="505"/>
      <c r="AQ140" s="505"/>
      <c r="AR140" s="505"/>
      <c r="AS140" s="505"/>
      <c r="AT140" s="505"/>
      <c r="AU140" s="505"/>
      <c r="AV140" s="505"/>
      <c r="AW140" s="505"/>
      <c r="AX140" s="505"/>
      <c r="AY140" s="505"/>
      <c r="AZ140" s="505"/>
      <c r="BA140" s="505"/>
      <c r="BB140" s="505"/>
      <c r="BC140" s="505"/>
      <c r="BD140" s="505"/>
    </row>
    <row r="141" spans="1:56" ht="9.9499999999999993" customHeight="1">
      <c r="A141" s="505"/>
      <c r="B141" s="505"/>
      <c r="C141" s="505"/>
      <c r="D141" s="505"/>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505"/>
      <c r="AE141" s="505"/>
      <c r="AF141" s="505"/>
      <c r="AG141" s="505"/>
      <c r="AH141" s="505"/>
      <c r="AI141" s="505"/>
      <c r="AJ141" s="505"/>
      <c r="AK141" s="505"/>
      <c r="AL141" s="505"/>
      <c r="AM141" s="505"/>
      <c r="AN141" s="505"/>
      <c r="AO141" s="505"/>
      <c r="AP141" s="505"/>
      <c r="AQ141" s="505"/>
      <c r="AR141" s="505"/>
      <c r="AS141" s="505"/>
      <c r="AT141" s="505"/>
      <c r="AU141" s="505"/>
      <c r="AV141" s="505"/>
      <c r="AW141" s="505"/>
      <c r="AX141" s="505"/>
      <c r="AY141" s="505"/>
      <c r="AZ141" s="505"/>
      <c r="BA141" s="505"/>
      <c r="BB141" s="505"/>
      <c r="BC141" s="505"/>
      <c r="BD141" s="505"/>
    </row>
    <row r="142" spans="1:56" ht="9.9499999999999993" customHeight="1">
      <c r="A142" s="505"/>
      <c r="B142" s="505"/>
      <c r="C142" s="505"/>
      <c r="D142" s="505"/>
      <c r="E142" s="505"/>
      <c r="F142" s="505"/>
      <c r="G142" s="505"/>
      <c r="H142" s="505"/>
      <c r="I142" s="505"/>
      <c r="J142" s="505"/>
      <c r="K142" s="505"/>
      <c r="L142" s="505"/>
      <c r="M142" s="505"/>
      <c r="N142" s="505"/>
      <c r="O142" s="505"/>
      <c r="P142" s="505"/>
      <c r="Q142" s="505"/>
      <c r="R142" s="505"/>
      <c r="S142" s="505"/>
      <c r="T142" s="505"/>
      <c r="U142" s="505"/>
      <c r="V142" s="505"/>
      <c r="W142" s="505"/>
      <c r="X142" s="505"/>
      <c r="Y142" s="505"/>
      <c r="Z142" s="505"/>
      <c r="AA142" s="505"/>
      <c r="AB142" s="505"/>
      <c r="AC142" s="505"/>
      <c r="AD142" s="505"/>
      <c r="AE142" s="505"/>
      <c r="AF142" s="505"/>
      <c r="AG142" s="505"/>
      <c r="AH142" s="505"/>
      <c r="AI142" s="505"/>
      <c r="AJ142" s="505"/>
      <c r="AK142" s="505"/>
      <c r="AL142" s="505"/>
      <c r="AM142" s="505"/>
      <c r="AN142" s="505"/>
      <c r="AO142" s="505"/>
      <c r="AP142" s="505"/>
      <c r="AQ142" s="505"/>
      <c r="AR142" s="505"/>
      <c r="AS142" s="505"/>
      <c r="AT142" s="505"/>
      <c r="AU142" s="505"/>
      <c r="AV142" s="505"/>
      <c r="AW142" s="505"/>
      <c r="AX142" s="505"/>
      <c r="AY142" s="505"/>
      <c r="AZ142" s="505"/>
      <c r="BA142" s="505"/>
      <c r="BB142" s="505"/>
      <c r="BC142" s="505"/>
      <c r="BD142" s="505"/>
    </row>
    <row r="143" spans="1:56" ht="9.9499999999999993" customHeight="1">
      <c r="A143" s="505"/>
      <c r="B143" s="505"/>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row>
    <row r="144" spans="1:56" ht="9.9499999999999993" customHeight="1">
      <c r="A144" s="505"/>
      <c r="B144" s="505"/>
      <c r="C144" s="505"/>
      <c r="D144" s="505"/>
      <c r="E144" s="505"/>
      <c r="F144" s="505"/>
      <c r="G144" s="505"/>
      <c r="H144" s="505"/>
      <c r="I144" s="505"/>
      <c r="J144" s="505"/>
      <c r="K144" s="505"/>
      <c r="L144" s="505"/>
      <c r="M144" s="505"/>
      <c r="N144" s="505"/>
      <c r="O144" s="505"/>
      <c r="P144" s="505"/>
      <c r="Q144" s="505"/>
      <c r="R144" s="505"/>
      <c r="S144" s="505"/>
      <c r="T144" s="505"/>
      <c r="U144" s="505"/>
      <c r="V144" s="505"/>
      <c r="W144" s="505"/>
      <c r="X144" s="505"/>
      <c r="Y144" s="505"/>
      <c r="Z144" s="505"/>
      <c r="AA144" s="505"/>
      <c r="AB144" s="505"/>
      <c r="AC144" s="505"/>
      <c r="AD144" s="505"/>
      <c r="AE144" s="505"/>
      <c r="AF144" s="505"/>
      <c r="AG144" s="505"/>
      <c r="AH144" s="505"/>
      <c r="AI144" s="505"/>
      <c r="AJ144" s="505"/>
      <c r="AK144" s="505"/>
      <c r="AL144" s="505"/>
      <c r="AM144" s="505"/>
      <c r="AN144" s="505"/>
      <c r="AO144" s="505"/>
      <c r="AP144" s="505"/>
      <c r="AQ144" s="505"/>
      <c r="AR144" s="505"/>
      <c r="AS144" s="505"/>
      <c r="AT144" s="505"/>
      <c r="AU144" s="505"/>
      <c r="AV144" s="505"/>
      <c r="AW144" s="505"/>
      <c r="AX144" s="505"/>
      <c r="AY144" s="505"/>
      <c r="AZ144" s="505"/>
      <c r="BA144" s="505"/>
      <c r="BB144" s="505"/>
      <c r="BC144" s="505"/>
      <c r="BD144" s="505"/>
    </row>
    <row r="145" spans="1:56" ht="9.9499999999999993" customHeight="1">
      <c r="A145" s="505"/>
      <c r="B145" s="505"/>
      <c r="C145" s="505"/>
      <c r="D145" s="505"/>
      <c r="E145" s="505"/>
      <c r="F145" s="505"/>
      <c r="G145" s="505"/>
      <c r="H145" s="505"/>
      <c r="I145" s="505"/>
      <c r="J145" s="505"/>
      <c r="K145" s="505"/>
      <c r="L145" s="505"/>
      <c r="M145" s="505"/>
      <c r="N145" s="505"/>
      <c r="O145" s="505"/>
      <c r="P145" s="505"/>
      <c r="Q145" s="505"/>
      <c r="R145" s="505"/>
      <c r="S145" s="505"/>
      <c r="T145" s="505"/>
      <c r="U145" s="505"/>
      <c r="V145" s="505"/>
      <c r="W145" s="505"/>
      <c r="X145" s="505"/>
      <c r="Y145" s="505"/>
      <c r="Z145" s="505"/>
      <c r="AA145" s="505"/>
      <c r="AB145" s="505"/>
      <c r="AC145" s="505"/>
      <c r="AD145" s="505"/>
      <c r="AE145" s="505"/>
      <c r="AF145" s="505"/>
      <c r="AG145" s="505"/>
      <c r="AH145" s="505"/>
      <c r="AI145" s="505"/>
      <c r="AJ145" s="505"/>
      <c r="AK145" s="505"/>
      <c r="AL145" s="505"/>
      <c r="AM145" s="505"/>
      <c r="AN145" s="505"/>
      <c r="AO145" s="505"/>
      <c r="AP145" s="505"/>
      <c r="AQ145" s="505"/>
      <c r="AR145" s="505"/>
      <c r="AS145" s="505"/>
      <c r="AT145" s="505"/>
      <c r="AU145" s="505"/>
      <c r="AV145" s="505"/>
      <c r="AW145" s="505"/>
      <c r="AX145" s="505"/>
      <c r="AY145" s="505"/>
      <c r="AZ145" s="505"/>
      <c r="BA145" s="505"/>
      <c r="BB145" s="505"/>
      <c r="BC145" s="505"/>
      <c r="BD145" s="505"/>
    </row>
    <row r="146" spans="1:56" ht="9.9499999999999993" customHeight="1">
      <c r="A146" s="505"/>
      <c r="B146" s="505"/>
      <c r="C146" s="505"/>
      <c r="D146" s="505"/>
      <c r="E146" s="505"/>
      <c r="F146" s="505"/>
      <c r="G146" s="505"/>
      <c r="H146" s="505"/>
      <c r="I146" s="505"/>
      <c r="J146" s="505"/>
      <c r="K146" s="505"/>
      <c r="L146" s="505"/>
      <c r="M146" s="505"/>
      <c r="N146" s="505"/>
      <c r="O146" s="505"/>
      <c r="P146" s="505"/>
      <c r="Q146" s="505"/>
      <c r="R146" s="505"/>
      <c r="S146" s="505"/>
      <c r="T146" s="505"/>
      <c r="U146" s="505"/>
      <c r="V146" s="505"/>
      <c r="W146" s="505"/>
      <c r="X146" s="505"/>
      <c r="Y146" s="505"/>
      <c r="Z146" s="505"/>
      <c r="AA146" s="505"/>
      <c r="AB146" s="505"/>
      <c r="AC146" s="505"/>
      <c r="AD146" s="505"/>
      <c r="AE146" s="505"/>
      <c r="AF146" s="505"/>
      <c r="AG146" s="505"/>
      <c r="AH146" s="505"/>
      <c r="AI146" s="505"/>
      <c r="AJ146" s="505"/>
      <c r="AK146" s="505"/>
      <c r="AL146" s="505"/>
      <c r="AM146" s="505"/>
      <c r="AN146" s="505"/>
      <c r="AO146" s="505"/>
      <c r="AP146" s="505"/>
      <c r="AQ146" s="505"/>
      <c r="AR146" s="505"/>
      <c r="AS146" s="505"/>
      <c r="AT146" s="505"/>
      <c r="AU146" s="505"/>
      <c r="AV146" s="505"/>
      <c r="AW146" s="505"/>
      <c r="AX146" s="505"/>
      <c r="AY146" s="505"/>
      <c r="AZ146" s="505"/>
      <c r="BA146" s="505"/>
      <c r="BB146" s="505"/>
      <c r="BC146" s="505"/>
      <c r="BD146" s="505"/>
    </row>
    <row r="147" spans="1:56" ht="9.9499999999999993" customHeight="1">
      <c r="A147" s="505"/>
      <c r="B147" s="505"/>
      <c r="C147" s="505"/>
      <c r="D147" s="505"/>
      <c r="E147" s="505"/>
      <c r="F147" s="505"/>
      <c r="G147" s="505"/>
      <c r="H147" s="505"/>
      <c r="I147" s="505"/>
      <c r="J147" s="505"/>
      <c r="K147" s="505"/>
      <c r="L147" s="505"/>
      <c r="M147" s="505"/>
      <c r="N147" s="505"/>
      <c r="O147" s="505"/>
      <c r="P147" s="505"/>
      <c r="Q147" s="505"/>
      <c r="R147" s="505"/>
      <c r="S147" s="505"/>
      <c r="T147" s="505"/>
      <c r="U147" s="505"/>
      <c r="V147" s="505"/>
      <c r="W147" s="505"/>
      <c r="X147" s="505"/>
      <c r="Y147" s="505"/>
      <c r="Z147" s="505"/>
      <c r="AA147" s="505"/>
      <c r="AB147" s="505"/>
      <c r="AC147" s="505"/>
      <c r="AD147" s="505"/>
      <c r="AE147" s="505"/>
      <c r="AF147" s="505"/>
      <c r="AG147" s="505"/>
      <c r="AH147" s="505"/>
      <c r="AI147" s="505"/>
      <c r="AJ147" s="505"/>
      <c r="AK147" s="505"/>
      <c r="AL147" s="505"/>
      <c r="AM147" s="505"/>
      <c r="AN147" s="505"/>
      <c r="AO147" s="505"/>
      <c r="AP147" s="505"/>
      <c r="AQ147" s="505"/>
      <c r="AR147" s="505"/>
      <c r="AS147" s="505"/>
      <c r="AT147" s="505"/>
      <c r="AU147" s="505"/>
      <c r="AV147" s="505"/>
      <c r="AW147" s="505"/>
      <c r="AX147" s="505"/>
      <c r="AY147" s="505"/>
      <c r="AZ147" s="505"/>
      <c r="BA147" s="505"/>
      <c r="BB147" s="505"/>
      <c r="BC147" s="505"/>
      <c r="BD147" s="505"/>
    </row>
    <row r="148" spans="1:56" ht="9.9499999999999993" customHeight="1">
      <c r="A148" s="505"/>
      <c r="B148" s="505"/>
      <c r="C148" s="505"/>
      <c r="D148" s="505"/>
      <c r="E148" s="505"/>
      <c r="F148" s="505"/>
      <c r="G148" s="505"/>
      <c r="H148" s="505"/>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row>
    <row r="149" spans="1:56" ht="9.9499999999999993" customHeight="1">
      <c r="A149" s="505"/>
      <c r="B149" s="505"/>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505"/>
      <c r="AE149" s="505"/>
      <c r="AF149" s="505"/>
      <c r="AG149" s="505"/>
      <c r="AH149" s="505"/>
      <c r="AI149" s="505"/>
      <c r="AJ149" s="505"/>
      <c r="AK149" s="505"/>
      <c r="AL149" s="505"/>
      <c r="AM149" s="505"/>
      <c r="AN149" s="505"/>
      <c r="AO149" s="505"/>
      <c r="AP149" s="505"/>
      <c r="AQ149" s="505"/>
      <c r="AR149" s="505"/>
      <c r="AS149" s="505"/>
      <c r="AT149" s="505"/>
      <c r="AU149" s="505"/>
      <c r="AV149" s="505"/>
      <c r="AW149" s="505"/>
      <c r="AX149" s="505"/>
      <c r="AY149" s="505"/>
      <c r="AZ149" s="505"/>
      <c r="BA149" s="505"/>
      <c r="BB149" s="505"/>
      <c r="BC149" s="505"/>
      <c r="BD149" s="505"/>
    </row>
    <row r="150" spans="1:56" ht="9.9499999999999993" customHeight="1">
      <c r="A150" s="505"/>
      <c r="B150" s="505"/>
      <c r="C150" s="505"/>
      <c r="D150" s="505"/>
      <c r="E150" s="505"/>
      <c r="F150" s="505"/>
      <c r="G150" s="505"/>
      <c r="H150" s="505"/>
      <c r="I150" s="505"/>
      <c r="J150" s="505"/>
      <c r="K150" s="505"/>
      <c r="L150" s="505"/>
      <c r="M150" s="505"/>
      <c r="N150" s="505"/>
      <c r="O150" s="505"/>
      <c r="P150" s="505"/>
      <c r="Q150" s="505"/>
      <c r="R150" s="505"/>
      <c r="S150" s="505"/>
      <c r="T150" s="505"/>
      <c r="U150" s="505"/>
      <c r="V150" s="505"/>
      <c r="W150" s="505"/>
      <c r="X150" s="505"/>
      <c r="Y150" s="505"/>
      <c r="Z150" s="505"/>
      <c r="AA150" s="505"/>
      <c r="AB150" s="505"/>
      <c r="AC150" s="505"/>
      <c r="AD150" s="505"/>
      <c r="AE150" s="505"/>
      <c r="AF150" s="505"/>
      <c r="AG150" s="505"/>
      <c r="AH150" s="505"/>
      <c r="AI150" s="505"/>
      <c r="AJ150" s="505"/>
      <c r="AK150" s="505"/>
      <c r="AL150" s="505"/>
      <c r="AM150" s="505"/>
      <c r="AN150" s="505"/>
      <c r="AO150" s="505"/>
      <c r="AP150" s="505"/>
      <c r="AQ150" s="505"/>
      <c r="AR150" s="505"/>
      <c r="AS150" s="505"/>
      <c r="AT150" s="505"/>
      <c r="AU150" s="505"/>
      <c r="AV150" s="505"/>
      <c r="AW150" s="505"/>
      <c r="AX150" s="505"/>
      <c r="AY150" s="505"/>
      <c r="AZ150" s="505"/>
      <c r="BA150" s="505"/>
      <c r="BB150" s="505"/>
      <c r="BC150" s="505"/>
      <c r="BD150" s="505"/>
    </row>
    <row r="151" spans="1:56" ht="9.9499999999999993" customHeight="1">
      <c r="A151" s="505"/>
      <c r="B151" s="505"/>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505"/>
      <c r="AE151" s="505"/>
      <c r="AF151" s="505"/>
      <c r="AG151" s="505"/>
      <c r="AH151" s="505"/>
      <c r="AI151" s="505"/>
      <c r="AJ151" s="505"/>
      <c r="AK151" s="505"/>
      <c r="AL151" s="505"/>
      <c r="AM151" s="505"/>
      <c r="AN151" s="505"/>
      <c r="AO151" s="505"/>
      <c r="AP151" s="505"/>
      <c r="AQ151" s="505"/>
      <c r="AR151" s="505"/>
      <c r="AS151" s="505"/>
      <c r="AT151" s="505"/>
      <c r="AU151" s="505"/>
      <c r="AV151" s="505"/>
      <c r="AW151" s="505"/>
      <c r="AX151" s="505"/>
      <c r="AY151" s="505"/>
      <c r="AZ151" s="505"/>
      <c r="BA151" s="505"/>
      <c r="BB151" s="505"/>
      <c r="BC151" s="505"/>
      <c r="BD151" s="505"/>
    </row>
    <row r="152" spans="1:56" ht="9.9499999999999993" customHeight="1">
      <c r="A152" s="505"/>
      <c r="B152" s="505"/>
      <c r="C152" s="505"/>
      <c r="D152" s="505"/>
      <c r="E152" s="505"/>
      <c r="F152" s="505"/>
      <c r="G152" s="505"/>
      <c r="H152" s="505"/>
      <c r="I152" s="505"/>
      <c r="J152" s="505"/>
      <c r="K152" s="505"/>
      <c r="L152" s="505"/>
      <c r="M152" s="505"/>
      <c r="N152" s="505"/>
      <c r="O152" s="505"/>
      <c r="P152" s="505"/>
      <c r="Q152" s="505"/>
      <c r="R152" s="505"/>
      <c r="S152" s="505"/>
      <c r="T152" s="505"/>
      <c r="U152" s="505"/>
      <c r="V152" s="505"/>
      <c r="W152" s="505"/>
      <c r="X152" s="505"/>
      <c r="Y152" s="505"/>
      <c r="Z152" s="505"/>
      <c r="AA152" s="505"/>
      <c r="AB152" s="505"/>
      <c r="AC152" s="505"/>
      <c r="AD152" s="505"/>
      <c r="AE152" s="505"/>
      <c r="AF152" s="505"/>
      <c r="AG152" s="505"/>
      <c r="AH152" s="505"/>
      <c r="AI152" s="505"/>
      <c r="AJ152" s="505"/>
      <c r="AK152" s="505"/>
      <c r="AL152" s="505"/>
      <c r="AM152" s="505"/>
      <c r="AN152" s="505"/>
      <c r="AO152" s="505"/>
      <c r="AP152" s="505"/>
      <c r="AQ152" s="505"/>
      <c r="AR152" s="505"/>
      <c r="AS152" s="505"/>
      <c r="AT152" s="505"/>
      <c r="AU152" s="505"/>
      <c r="AV152" s="505"/>
      <c r="AW152" s="505"/>
      <c r="AX152" s="505"/>
      <c r="AY152" s="505"/>
      <c r="AZ152" s="505"/>
      <c r="BA152" s="505"/>
      <c r="BB152" s="505"/>
      <c r="BC152" s="505"/>
      <c r="BD152" s="505"/>
    </row>
    <row r="153" spans="1:56" ht="9.9499999999999993" customHeight="1">
      <c r="A153" s="505"/>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row>
    <row r="154" spans="1:56" ht="9.9499999999999993" customHeight="1">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505"/>
      <c r="AE154" s="505"/>
      <c r="AF154" s="505"/>
      <c r="AG154" s="505"/>
      <c r="AH154" s="505"/>
      <c r="AI154" s="505"/>
      <c r="AJ154" s="505"/>
      <c r="AK154" s="505"/>
      <c r="AL154" s="505"/>
      <c r="AM154" s="505"/>
      <c r="AN154" s="505"/>
      <c r="AO154" s="505"/>
      <c r="AP154" s="505"/>
      <c r="AQ154" s="505"/>
      <c r="AR154" s="505"/>
      <c r="AS154" s="505"/>
      <c r="AT154" s="505"/>
      <c r="AU154" s="505"/>
      <c r="AV154" s="505"/>
      <c r="AW154" s="505"/>
      <c r="AX154" s="505"/>
      <c r="AY154" s="505"/>
      <c r="AZ154" s="505"/>
      <c r="BA154" s="505"/>
      <c r="BB154" s="505"/>
      <c r="BC154" s="505"/>
      <c r="BD154" s="505"/>
    </row>
    <row r="155" spans="1:56" ht="9.9499999999999993" customHeight="1">
      <c r="A155" s="505"/>
      <c r="B155" s="505"/>
      <c r="C155" s="505"/>
      <c r="D155" s="505"/>
      <c r="E155" s="505"/>
      <c r="F155" s="505"/>
      <c r="G155" s="505"/>
      <c r="H155" s="505"/>
      <c r="I155" s="505"/>
      <c r="J155" s="505"/>
      <c r="K155" s="505"/>
      <c r="L155" s="505"/>
      <c r="M155" s="505"/>
      <c r="N155" s="505"/>
      <c r="O155" s="505"/>
      <c r="P155" s="505"/>
      <c r="Q155" s="505"/>
      <c r="R155" s="505"/>
      <c r="S155" s="505"/>
      <c r="T155" s="505"/>
      <c r="U155" s="505"/>
      <c r="V155" s="505"/>
      <c r="W155" s="505"/>
      <c r="X155" s="505"/>
      <c r="Y155" s="505"/>
      <c r="Z155" s="505"/>
      <c r="AA155" s="505"/>
      <c r="AB155" s="505"/>
      <c r="AC155" s="505"/>
      <c r="AD155" s="505"/>
      <c r="AE155" s="505"/>
      <c r="AF155" s="505"/>
      <c r="AG155" s="505"/>
      <c r="AH155" s="505"/>
      <c r="AI155" s="505"/>
      <c r="AJ155" s="505"/>
      <c r="AK155" s="505"/>
      <c r="AL155" s="505"/>
      <c r="AM155" s="505"/>
      <c r="AN155" s="505"/>
      <c r="AO155" s="505"/>
      <c r="AP155" s="505"/>
      <c r="AQ155" s="505"/>
      <c r="AR155" s="505"/>
      <c r="AS155" s="505"/>
      <c r="AT155" s="505"/>
      <c r="AU155" s="505"/>
      <c r="AV155" s="505"/>
      <c r="AW155" s="505"/>
      <c r="AX155" s="505"/>
      <c r="AY155" s="505"/>
      <c r="AZ155" s="505"/>
      <c r="BA155" s="505"/>
      <c r="BB155" s="505"/>
      <c r="BC155" s="505"/>
      <c r="BD155" s="505"/>
    </row>
    <row r="156" spans="1:56" ht="9.9499999999999993" customHeight="1">
      <c r="A156" s="505"/>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row>
    <row r="157" spans="1:56" ht="9.9499999999999993" customHeight="1">
      <c r="A157" s="505"/>
      <c r="B157" s="505"/>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505"/>
      <c r="AE157" s="505"/>
      <c r="AF157" s="505"/>
      <c r="AG157" s="505"/>
      <c r="AH157" s="505"/>
      <c r="AI157" s="505"/>
      <c r="AJ157" s="505"/>
      <c r="AK157" s="505"/>
      <c r="AL157" s="505"/>
      <c r="AM157" s="505"/>
      <c r="AN157" s="505"/>
      <c r="AO157" s="505"/>
      <c r="AP157" s="505"/>
      <c r="AQ157" s="505"/>
      <c r="AR157" s="505"/>
      <c r="AS157" s="505"/>
      <c r="AT157" s="505"/>
      <c r="AU157" s="505"/>
      <c r="AV157" s="505"/>
      <c r="AW157" s="505"/>
      <c r="AX157" s="505"/>
      <c r="AY157" s="505"/>
      <c r="AZ157" s="505"/>
      <c r="BA157" s="505"/>
      <c r="BB157" s="505"/>
      <c r="BC157" s="505"/>
      <c r="BD157" s="505"/>
    </row>
    <row r="158" spans="1:56" ht="9.9499999999999993" customHeight="1">
      <c r="A158" s="505"/>
      <c r="B158" s="505"/>
      <c r="C158" s="505"/>
      <c r="D158" s="505"/>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row>
    <row r="159" spans="1:56" ht="9.9499999999999993" customHeight="1">
      <c r="A159" s="505"/>
      <c r="B159" s="505"/>
      <c r="C159" s="505"/>
      <c r="D159" s="505"/>
      <c r="E159" s="505"/>
      <c r="F159" s="505"/>
      <c r="G159" s="505"/>
      <c r="H159" s="505"/>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505"/>
      <c r="AE159" s="505"/>
      <c r="AF159" s="505"/>
      <c r="AG159" s="505"/>
      <c r="AH159" s="505"/>
      <c r="AI159" s="505"/>
      <c r="AJ159" s="505"/>
      <c r="AK159" s="505"/>
      <c r="AL159" s="505"/>
      <c r="AM159" s="505"/>
      <c r="AN159" s="505"/>
      <c r="AO159" s="505"/>
      <c r="AP159" s="505"/>
      <c r="AQ159" s="505"/>
      <c r="AR159" s="505"/>
      <c r="AS159" s="505"/>
      <c r="AT159" s="505"/>
      <c r="AU159" s="505"/>
      <c r="AV159" s="505"/>
      <c r="AW159" s="505"/>
      <c r="AX159" s="505"/>
      <c r="AY159" s="505"/>
      <c r="AZ159" s="505"/>
      <c r="BA159" s="505"/>
      <c r="BB159" s="505"/>
      <c r="BC159" s="505"/>
      <c r="BD159" s="505"/>
    </row>
    <row r="160" spans="1:56" ht="9.9499999999999993" customHeight="1">
      <c r="A160" s="505"/>
      <c r="B160" s="505"/>
      <c r="C160" s="505"/>
      <c r="D160" s="505"/>
      <c r="E160" s="505"/>
      <c r="F160" s="505"/>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505"/>
      <c r="AE160" s="505"/>
      <c r="AF160" s="505"/>
      <c r="AG160" s="505"/>
      <c r="AH160" s="505"/>
      <c r="AI160" s="505"/>
      <c r="AJ160" s="505"/>
      <c r="AK160" s="505"/>
      <c r="AL160" s="505"/>
      <c r="AM160" s="505"/>
      <c r="AN160" s="505"/>
      <c r="AO160" s="505"/>
      <c r="AP160" s="505"/>
      <c r="AQ160" s="505"/>
      <c r="AR160" s="505"/>
      <c r="AS160" s="505"/>
      <c r="AT160" s="505"/>
      <c r="AU160" s="505"/>
      <c r="AV160" s="505"/>
      <c r="AW160" s="505"/>
      <c r="AX160" s="505"/>
      <c r="AY160" s="505"/>
      <c r="AZ160" s="505"/>
      <c r="BA160" s="505"/>
      <c r="BB160" s="505"/>
      <c r="BC160" s="505"/>
      <c r="BD160" s="505"/>
    </row>
    <row r="161" spans="1:56" ht="9.9499999999999993" customHeight="1">
      <c r="A161" s="505"/>
      <c r="B161" s="505"/>
      <c r="C161" s="505"/>
      <c r="D161" s="505"/>
      <c r="E161" s="505"/>
      <c r="F161" s="505"/>
      <c r="G161" s="505"/>
      <c r="H161" s="505"/>
      <c r="I161" s="505"/>
      <c r="J161" s="505"/>
      <c r="K161" s="505"/>
      <c r="L161" s="505"/>
      <c r="M161" s="505"/>
      <c r="N161" s="505"/>
      <c r="O161" s="505"/>
      <c r="P161" s="505"/>
      <c r="Q161" s="505"/>
      <c r="R161" s="505"/>
      <c r="S161" s="505"/>
      <c r="T161" s="505"/>
      <c r="U161" s="505"/>
      <c r="V161" s="505"/>
      <c r="W161" s="505"/>
      <c r="X161" s="505"/>
      <c r="Y161" s="505"/>
      <c r="Z161" s="505"/>
      <c r="AA161" s="505"/>
      <c r="AB161" s="505"/>
      <c r="AC161" s="505"/>
      <c r="AD161" s="505"/>
      <c r="AE161" s="505"/>
      <c r="AF161" s="505"/>
      <c r="AG161" s="505"/>
      <c r="AH161" s="505"/>
      <c r="AI161" s="505"/>
      <c r="AJ161" s="505"/>
      <c r="AK161" s="505"/>
      <c r="AL161" s="505"/>
      <c r="AM161" s="505"/>
      <c r="AN161" s="505"/>
      <c r="AO161" s="505"/>
      <c r="AP161" s="505"/>
      <c r="AQ161" s="505"/>
      <c r="AR161" s="505"/>
      <c r="AS161" s="505"/>
      <c r="AT161" s="505"/>
      <c r="AU161" s="505"/>
      <c r="AV161" s="505"/>
      <c r="AW161" s="505"/>
      <c r="AX161" s="505"/>
      <c r="AY161" s="505"/>
      <c r="AZ161" s="505"/>
      <c r="BA161" s="505"/>
      <c r="BB161" s="505"/>
      <c r="BC161" s="505"/>
      <c r="BD161" s="505"/>
    </row>
    <row r="162" spans="1:56" ht="9.9499999999999993" customHeight="1">
      <c r="A162" s="505"/>
      <c r="B162" s="505"/>
      <c r="C162" s="505"/>
      <c r="D162" s="505"/>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row>
    <row r="163" spans="1:56" ht="9.9499999999999993" customHeight="1">
      <c r="A163" s="505"/>
      <c r="B163" s="505"/>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c r="AM163" s="505"/>
      <c r="AN163" s="505"/>
      <c r="AO163" s="505"/>
      <c r="AP163" s="505"/>
      <c r="AQ163" s="505"/>
      <c r="AR163" s="505"/>
      <c r="AS163" s="505"/>
      <c r="AT163" s="505"/>
      <c r="AU163" s="505"/>
      <c r="AV163" s="505"/>
      <c r="AW163" s="505"/>
      <c r="AX163" s="505"/>
      <c r="AY163" s="505"/>
      <c r="AZ163" s="505"/>
      <c r="BA163" s="505"/>
      <c r="BB163" s="505"/>
      <c r="BC163" s="505"/>
      <c r="BD163" s="505"/>
    </row>
    <row r="164" spans="1:56" ht="9.9499999999999993" customHeight="1">
      <c r="A164" s="505"/>
      <c r="B164" s="505"/>
      <c r="C164" s="505"/>
      <c r="D164" s="505"/>
      <c r="E164" s="505"/>
      <c r="F164" s="505"/>
      <c r="G164" s="505"/>
      <c r="H164" s="505"/>
      <c r="I164" s="505"/>
      <c r="J164" s="505"/>
      <c r="K164" s="505"/>
      <c r="L164" s="505"/>
      <c r="M164" s="505"/>
      <c r="N164" s="505"/>
      <c r="O164" s="505"/>
      <c r="P164" s="505"/>
      <c r="Q164" s="505"/>
      <c r="R164" s="505"/>
      <c r="S164" s="505"/>
      <c r="T164" s="505"/>
      <c r="U164" s="505"/>
      <c r="V164" s="505"/>
      <c r="W164" s="505"/>
      <c r="X164" s="505"/>
      <c r="Y164" s="505"/>
      <c r="Z164" s="505"/>
      <c r="AA164" s="505"/>
      <c r="AB164" s="505"/>
      <c r="AC164" s="505"/>
      <c r="AD164" s="505"/>
      <c r="AE164" s="505"/>
      <c r="AF164" s="505"/>
      <c r="AG164" s="505"/>
      <c r="AH164" s="505"/>
      <c r="AI164" s="505"/>
      <c r="AJ164" s="505"/>
      <c r="AK164" s="505"/>
      <c r="AL164" s="505"/>
      <c r="AM164" s="505"/>
      <c r="AN164" s="505"/>
      <c r="AO164" s="505"/>
      <c r="AP164" s="505"/>
      <c r="AQ164" s="505"/>
      <c r="AR164" s="505"/>
      <c r="AS164" s="505"/>
      <c r="AT164" s="505"/>
      <c r="AU164" s="505"/>
      <c r="AV164" s="505"/>
      <c r="AW164" s="505"/>
      <c r="AX164" s="505"/>
      <c r="AY164" s="505"/>
      <c r="AZ164" s="505"/>
      <c r="BA164" s="505"/>
      <c r="BB164" s="505"/>
      <c r="BC164" s="505"/>
      <c r="BD164" s="505"/>
    </row>
    <row r="165" spans="1:56" ht="9.9499999999999993" customHeight="1">
      <c r="A165" s="505"/>
      <c r="B165" s="505"/>
      <c r="C165" s="505"/>
      <c r="D165" s="505"/>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c r="BC165" s="505"/>
      <c r="BD165" s="505"/>
    </row>
    <row r="166" spans="1:56" ht="9.9499999999999993" customHeight="1">
      <c r="A166" s="505"/>
      <c r="B166" s="505"/>
      <c r="C166" s="505"/>
      <c r="D166" s="505"/>
      <c r="E166" s="505"/>
      <c r="F166" s="505"/>
      <c r="G166" s="505"/>
      <c r="H166" s="505"/>
      <c r="I166" s="505"/>
      <c r="J166" s="505"/>
      <c r="K166" s="505"/>
      <c r="L166" s="505"/>
      <c r="M166" s="505"/>
      <c r="N166" s="505"/>
      <c r="O166" s="505"/>
      <c r="P166" s="505"/>
      <c r="Q166" s="505"/>
      <c r="R166" s="505"/>
      <c r="S166" s="505"/>
      <c r="T166" s="505"/>
      <c r="U166" s="505"/>
      <c r="V166" s="505"/>
      <c r="W166" s="505"/>
      <c r="X166" s="505"/>
      <c r="Y166" s="505"/>
      <c r="Z166" s="505"/>
      <c r="AA166" s="505"/>
      <c r="AB166" s="505"/>
      <c r="AC166" s="505"/>
      <c r="AD166" s="505"/>
      <c r="AE166" s="505"/>
      <c r="AF166" s="505"/>
      <c r="AG166" s="505"/>
      <c r="AH166" s="505"/>
      <c r="AI166" s="505"/>
      <c r="AJ166" s="505"/>
      <c r="AK166" s="505"/>
      <c r="AL166" s="505"/>
      <c r="AM166" s="505"/>
      <c r="AN166" s="505"/>
      <c r="AO166" s="505"/>
      <c r="AP166" s="505"/>
      <c r="AQ166" s="505"/>
      <c r="AR166" s="505"/>
      <c r="AS166" s="505"/>
      <c r="AT166" s="505"/>
      <c r="AU166" s="505"/>
      <c r="AV166" s="505"/>
      <c r="AW166" s="505"/>
      <c r="AX166" s="505"/>
      <c r="AY166" s="505"/>
      <c r="AZ166" s="505"/>
      <c r="BA166" s="505"/>
      <c r="BB166" s="505"/>
      <c r="BC166" s="505"/>
      <c r="BD166" s="505"/>
    </row>
    <row r="167" spans="1:56" ht="9.9499999999999993" customHeight="1">
      <c r="A167" s="505"/>
      <c r="B167" s="505"/>
      <c r="C167" s="505"/>
      <c r="D167" s="505"/>
      <c r="E167" s="505"/>
      <c r="F167" s="505"/>
      <c r="G167" s="505"/>
      <c r="H167" s="505"/>
      <c r="I167" s="505"/>
      <c r="J167" s="505"/>
      <c r="K167" s="505"/>
      <c r="L167" s="505"/>
      <c r="M167" s="505"/>
      <c r="N167" s="505"/>
      <c r="O167" s="505"/>
      <c r="P167" s="505"/>
      <c r="Q167" s="505"/>
      <c r="R167" s="505"/>
      <c r="S167" s="505"/>
      <c r="T167" s="505"/>
      <c r="U167" s="505"/>
      <c r="V167" s="505"/>
      <c r="W167" s="505"/>
      <c r="X167" s="505"/>
      <c r="Y167" s="505"/>
      <c r="Z167" s="505"/>
      <c r="AA167" s="505"/>
      <c r="AB167" s="505"/>
      <c r="AC167" s="505"/>
      <c r="AD167" s="505"/>
      <c r="AE167" s="505"/>
      <c r="AF167" s="505"/>
      <c r="AG167" s="505"/>
      <c r="AH167" s="505"/>
      <c r="AI167" s="505"/>
      <c r="AJ167" s="505"/>
      <c r="AK167" s="505"/>
      <c r="AL167" s="505"/>
      <c r="AM167" s="505"/>
      <c r="AN167" s="505"/>
      <c r="AO167" s="505"/>
      <c r="AP167" s="505"/>
      <c r="AQ167" s="505"/>
      <c r="AR167" s="505"/>
      <c r="AS167" s="505"/>
      <c r="AT167" s="505"/>
      <c r="AU167" s="505"/>
      <c r="AV167" s="505"/>
      <c r="AW167" s="505"/>
      <c r="AX167" s="505"/>
      <c r="AY167" s="505"/>
      <c r="AZ167" s="505"/>
      <c r="BA167" s="505"/>
      <c r="BB167" s="505"/>
      <c r="BC167" s="505"/>
      <c r="BD167" s="505"/>
    </row>
    <row r="168" spans="1:56" ht="9.9499999999999993" customHeight="1">
      <c r="A168" s="505"/>
      <c r="B168" s="505"/>
      <c r="C168" s="505"/>
      <c r="D168" s="505"/>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505"/>
      <c r="AE168" s="505"/>
      <c r="AF168" s="505"/>
      <c r="AG168" s="505"/>
      <c r="AH168" s="505"/>
      <c r="AI168" s="505"/>
      <c r="AJ168" s="505"/>
      <c r="AK168" s="505"/>
      <c r="AL168" s="505"/>
      <c r="AM168" s="505"/>
      <c r="AN168" s="505"/>
      <c r="AO168" s="505"/>
      <c r="AP168" s="505"/>
      <c r="AQ168" s="505"/>
      <c r="AR168" s="505"/>
      <c r="AS168" s="505"/>
      <c r="AT168" s="505"/>
      <c r="AU168" s="505"/>
      <c r="AV168" s="505"/>
      <c r="AW168" s="505"/>
      <c r="AX168" s="505"/>
      <c r="AY168" s="505"/>
      <c r="AZ168" s="505"/>
      <c r="BA168" s="505"/>
      <c r="BB168" s="505"/>
      <c r="BC168" s="505"/>
      <c r="BD168" s="505"/>
    </row>
    <row r="169" spans="1:56" ht="9.9499999999999993" customHeight="1">
      <c r="A169" s="505"/>
      <c r="B169" s="505"/>
      <c r="C169" s="505"/>
      <c r="D169" s="505"/>
      <c r="E169" s="505"/>
      <c r="F169" s="505"/>
      <c r="G169" s="505"/>
      <c r="H169" s="505"/>
      <c r="I169" s="505"/>
      <c r="J169" s="505"/>
      <c r="K169" s="505"/>
      <c r="L169" s="505"/>
      <c r="M169" s="505"/>
      <c r="N169" s="505"/>
      <c r="O169" s="505"/>
      <c r="P169" s="505"/>
      <c r="Q169" s="505"/>
      <c r="R169" s="505"/>
      <c r="S169" s="505"/>
      <c r="T169" s="505"/>
      <c r="U169" s="505"/>
      <c r="V169" s="505"/>
      <c r="W169" s="505"/>
      <c r="X169" s="505"/>
      <c r="Y169" s="505"/>
      <c r="Z169" s="505"/>
      <c r="AA169" s="505"/>
      <c r="AB169" s="505"/>
      <c r="AC169" s="505"/>
      <c r="AD169" s="505"/>
      <c r="AE169" s="505"/>
      <c r="AF169" s="505"/>
      <c r="AG169" s="505"/>
      <c r="AH169" s="505"/>
      <c r="AI169" s="505"/>
      <c r="AJ169" s="505"/>
      <c r="AK169" s="505"/>
      <c r="AL169" s="505"/>
      <c r="AM169" s="505"/>
      <c r="AN169" s="505"/>
      <c r="AO169" s="505"/>
      <c r="AP169" s="505"/>
      <c r="AQ169" s="505"/>
      <c r="AR169" s="505"/>
      <c r="AS169" s="505"/>
      <c r="AT169" s="505"/>
      <c r="AU169" s="505"/>
      <c r="AV169" s="505"/>
      <c r="AW169" s="505"/>
      <c r="AX169" s="505"/>
      <c r="AY169" s="505"/>
      <c r="AZ169" s="505"/>
      <c r="BA169" s="505"/>
      <c r="BB169" s="505"/>
      <c r="BC169" s="505"/>
      <c r="BD169" s="505"/>
    </row>
    <row r="170" spans="1:56" ht="9.9499999999999993" customHeight="1">
      <c r="A170" s="505"/>
      <c r="B170" s="505"/>
      <c r="C170" s="505"/>
      <c r="D170" s="505"/>
      <c r="E170" s="505"/>
      <c r="F170" s="505"/>
      <c r="G170" s="505"/>
      <c r="H170" s="505"/>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row>
    <row r="171" spans="1:56" ht="9.9499999999999993" customHeight="1">
      <c r="A171" s="505"/>
      <c r="B171" s="505"/>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505"/>
      <c r="AF171" s="505"/>
      <c r="AG171" s="505"/>
      <c r="AH171" s="505"/>
      <c r="AI171" s="505"/>
      <c r="AJ171" s="505"/>
      <c r="AK171" s="505"/>
      <c r="AL171" s="505"/>
      <c r="AM171" s="505"/>
      <c r="AN171" s="505"/>
      <c r="AO171" s="505"/>
      <c r="AP171" s="505"/>
      <c r="AQ171" s="505"/>
      <c r="AR171" s="505"/>
      <c r="AS171" s="505"/>
      <c r="AT171" s="505"/>
      <c r="AU171" s="505"/>
      <c r="AV171" s="505"/>
      <c r="AW171" s="505"/>
      <c r="AX171" s="505"/>
      <c r="AY171" s="505"/>
      <c r="AZ171" s="505"/>
      <c r="BA171" s="505"/>
      <c r="BB171" s="505"/>
      <c r="BC171" s="505"/>
      <c r="BD171" s="505"/>
    </row>
    <row r="172" spans="1:56" ht="9.9499999999999993" customHeight="1">
      <c r="A172" s="505"/>
      <c r="B172" s="505"/>
      <c r="C172" s="505"/>
      <c r="D172" s="505"/>
      <c r="E172" s="505"/>
      <c r="F172" s="505"/>
      <c r="G172" s="505"/>
      <c r="H172" s="505"/>
      <c r="I172" s="505"/>
      <c r="J172" s="505"/>
      <c r="K172" s="505"/>
      <c r="L172" s="505"/>
      <c r="M172" s="505"/>
      <c r="N172" s="505"/>
      <c r="O172" s="505"/>
      <c r="P172" s="505"/>
      <c r="Q172" s="505"/>
      <c r="R172" s="505"/>
      <c r="S172" s="505"/>
      <c r="T172" s="505"/>
      <c r="U172" s="505"/>
      <c r="V172" s="505"/>
      <c r="W172" s="505"/>
      <c r="X172" s="505"/>
      <c r="Y172" s="505"/>
      <c r="Z172" s="505"/>
      <c r="AA172" s="505"/>
      <c r="AB172" s="505"/>
      <c r="AC172" s="505"/>
      <c r="AD172" s="505"/>
      <c r="AE172" s="505"/>
      <c r="AF172" s="505"/>
      <c r="AG172" s="505"/>
      <c r="AH172" s="505"/>
      <c r="AI172" s="505"/>
      <c r="AJ172" s="505"/>
      <c r="AK172" s="505"/>
      <c r="AL172" s="505"/>
      <c r="AM172" s="505"/>
      <c r="AN172" s="505"/>
      <c r="AO172" s="505"/>
      <c r="AP172" s="505"/>
      <c r="AQ172" s="505"/>
      <c r="AR172" s="505"/>
      <c r="AS172" s="505"/>
      <c r="AT172" s="505"/>
      <c r="AU172" s="505"/>
      <c r="AV172" s="505"/>
      <c r="AW172" s="505"/>
      <c r="AX172" s="505"/>
      <c r="AY172" s="505"/>
      <c r="AZ172" s="505"/>
      <c r="BA172" s="505"/>
      <c r="BB172" s="505"/>
      <c r="BC172" s="505"/>
      <c r="BD172" s="505"/>
    </row>
    <row r="173" spans="1:56" ht="9.9499999999999993" customHeight="1">
      <c r="A173" s="505"/>
      <c r="B173" s="505"/>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505"/>
      <c r="AF173" s="505"/>
      <c r="AG173" s="505"/>
      <c r="AH173" s="505"/>
      <c r="AI173" s="505"/>
      <c r="AJ173" s="505"/>
      <c r="AK173" s="505"/>
      <c r="AL173" s="505"/>
      <c r="AM173" s="505"/>
      <c r="AN173" s="505"/>
      <c r="AO173" s="505"/>
      <c r="AP173" s="505"/>
      <c r="AQ173" s="505"/>
      <c r="AR173" s="505"/>
      <c r="AS173" s="505"/>
      <c r="AT173" s="505"/>
      <c r="AU173" s="505"/>
      <c r="AV173" s="505"/>
      <c r="AW173" s="505"/>
      <c r="AX173" s="505"/>
      <c r="AY173" s="505"/>
      <c r="AZ173" s="505"/>
      <c r="BA173" s="505"/>
      <c r="BB173" s="505"/>
      <c r="BC173" s="505"/>
      <c r="BD173" s="505"/>
    </row>
    <row r="174" spans="1:56" ht="9.9499999999999993" customHeight="1">
      <c r="A174" s="505"/>
      <c r="B174" s="505"/>
      <c r="C174" s="505"/>
      <c r="D174" s="505"/>
      <c r="E174" s="505"/>
      <c r="F174" s="505"/>
      <c r="G174" s="505"/>
      <c r="H174" s="505"/>
      <c r="I174" s="505"/>
      <c r="J174" s="505"/>
      <c r="K174" s="505"/>
      <c r="L174" s="505"/>
      <c r="M174" s="505"/>
      <c r="N174" s="505"/>
      <c r="O174" s="505"/>
      <c r="P174" s="505"/>
      <c r="Q174" s="505"/>
      <c r="R174" s="505"/>
      <c r="S174" s="505"/>
      <c r="T174" s="505"/>
      <c r="U174" s="505"/>
      <c r="V174" s="505"/>
      <c r="W174" s="505"/>
      <c r="X174" s="505"/>
      <c r="Y174" s="505"/>
      <c r="Z174" s="505"/>
      <c r="AA174" s="505"/>
      <c r="AB174" s="505"/>
      <c r="AC174" s="505"/>
      <c r="AD174" s="505"/>
      <c r="AE174" s="505"/>
      <c r="AF174" s="505"/>
      <c r="AG174" s="505"/>
      <c r="AH174" s="505"/>
      <c r="AI174" s="505"/>
      <c r="AJ174" s="505"/>
      <c r="AK174" s="505"/>
      <c r="AL174" s="505"/>
      <c r="AM174" s="505"/>
      <c r="AN174" s="505"/>
      <c r="AO174" s="505"/>
      <c r="AP174" s="505"/>
      <c r="AQ174" s="505"/>
      <c r="AR174" s="505"/>
      <c r="AS174" s="505"/>
      <c r="AT174" s="505"/>
      <c r="AU174" s="505"/>
      <c r="AV174" s="505"/>
      <c r="AW174" s="505"/>
      <c r="AX174" s="505"/>
      <c r="AY174" s="505"/>
      <c r="AZ174" s="505"/>
      <c r="BA174" s="505"/>
      <c r="BB174" s="505"/>
      <c r="BC174" s="505"/>
      <c r="BD174" s="505"/>
    </row>
    <row r="175" spans="1:56" ht="9.9499999999999993" customHeight="1">
      <c r="A175" s="505"/>
      <c r="B175" s="505"/>
      <c r="C175" s="505"/>
      <c r="D175" s="505"/>
      <c r="E175" s="505"/>
      <c r="F175" s="505"/>
      <c r="G175" s="505"/>
      <c r="H175" s="505"/>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row>
    <row r="176" spans="1:56" ht="9.9499999999999993" customHeight="1">
      <c r="A176" s="505"/>
      <c r="B176" s="505"/>
      <c r="C176" s="505"/>
      <c r="D176" s="505"/>
      <c r="E176" s="505"/>
      <c r="F176" s="505"/>
      <c r="G176" s="505"/>
      <c r="H176" s="505"/>
      <c r="I176" s="505"/>
      <c r="J176" s="505"/>
      <c r="K176" s="505"/>
      <c r="L176" s="505"/>
      <c r="M176" s="505"/>
      <c r="N176" s="505"/>
      <c r="O176" s="505"/>
      <c r="P176" s="505"/>
      <c r="Q176" s="505"/>
      <c r="R176" s="505"/>
      <c r="S176" s="505"/>
      <c r="T176" s="505"/>
      <c r="U176" s="505"/>
      <c r="V176" s="505"/>
      <c r="W176" s="505"/>
      <c r="X176" s="505"/>
      <c r="Y176" s="505"/>
      <c r="Z176" s="505"/>
      <c r="AA176" s="505"/>
      <c r="AB176" s="505"/>
      <c r="AC176" s="505"/>
      <c r="AD176" s="505"/>
      <c r="AE176" s="505"/>
      <c r="AF176" s="505"/>
      <c r="AG176" s="505"/>
      <c r="AH176" s="505"/>
      <c r="AI176" s="505"/>
      <c r="AJ176" s="505"/>
      <c r="AK176" s="505"/>
      <c r="AL176" s="505"/>
      <c r="AM176" s="505"/>
      <c r="AN176" s="505"/>
      <c r="AO176" s="505"/>
      <c r="AP176" s="505"/>
      <c r="AQ176" s="505"/>
      <c r="AR176" s="505"/>
      <c r="AS176" s="505"/>
      <c r="AT176" s="505"/>
      <c r="AU176" s="505"/>
      <c r="AV176" s="505"/>
      <c r="AW176" s="505"/>
      <c r="AX176" s="505"/>
      <c r="AY176" s="505"/>
      <c r="AZ176" s="505"/>
      <c r="BA176" s="505"/>
      <c r="BB176" s="505"/>
      <c r="BC176" s="505"/>
      <c r="BD176" s="505"/>
    </row>
    <row r="177" spans="1:56" ht="9.9499999999999993" customHeight="1">
      <c r="A177" s="505"/>
      <c r="B177" s="505"/>
      <c r="C177" s="505"/>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row>
    <row r="178" spans="1:56" ht="9.9499999999999993" customHeight="1">
      <c r="A178" s="505"/>
      <c r="B178" s="505"/>
      <c r="C178" s="505"/>
      <c r="D178" s="505"/>
      <c r="E178" s="505"/>
      <c r="F178" s="505"/>
      <c r="G178" s="505"/>
      <c r="H178" s="505"/>
      <c r="I178" s="505"/>
      <c r="J178" s="505"/>
      <c r="K178" s="505"/>
      <c r="L178" s="505"/>
      <c r="M178" s="505"/>
      <c r="N178" s="505"/>
      <c r="O178" s="505"/>
      <c r="P178" s="505"/>
      <c r="Q178" s="505"/>
      <c r="R178" s="505"/>
      <c r="S178" s="505"/>
      <c r="T178" s="505"/>
      <c r="U178" s="505"/>
      <c r="V178" s="505"/>
      <c r="W178" s="505"/>
      <c r="X178" s="505"/>
      <c r="Y178" s="505"/>
      <c r="Z178" s="505"/>
      <c r="AA178" s="505"/>
      <c r="AB178" s="505"/>
      <c r="AC178" s="505"/>
      <c r="AD178" s="505"/>
      <c r="AE178" s="505"/>
      <c r="AF178" s="505"/>
      <c r="AG178" s="505"/>
      <c r="AH178" s="505"/>
      <c r="AI178" s="505"/>
      <c r="AJ178" s="505"/>
      <c r="AK178" s="505"/>
      <c r="AL178" s="505"/>
      <c r="AM178" s="505"/>
      <c r="AN178" s="505"/>
      <c r="AO178" s="505"/>
      <c r="AP178" s="505"/>
      <c r="AQ178" s="505"/>
      <c r="AR178" s="505"/>
      <c r="AS178" s="505"/>
      <c r="AT178" s="505"/>
      <c r="AU178" s="505"/>
      <c r="AV178" s="505"/>
      <c r="AW178" s="505"/>
      <c r="AX178" s="505"/>
      <c r="AY178" s="505"/>
      <c r="AZ178" s="505"/>
      <c r="BA178" s="505"/>
      <c r="BB178" s="505"/>
      <c r="BC178" s="505"/>
      <c r="BD178" s="505"/>
    </row>
    <row r="179" spans="1:56" ht="9.9499999999999993" customHeight="1">
      <c r="A179" s="505"/>
      <c r="B179" s="505"/>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505"/>
      <c r="AF179" s="505"/>
      <c r="AG179" s="505"/>
      <c r="AH179" s="505"/>
      <c r="AI179" s="505"/>
      <c r="AJ179" s="505"/>
      <c r="AK179" s="505"/>
      <c r="AL179" s="505"/>
      <c r="AM179" s="505"/>
      <c r="AN179" s="505"/>
      <c r="AO179" s="505"/>
      <c r="AP179" s="505"/>
      <c r="AQ179" s="505"/>
      <c r="AR179" s="505"/>
      <c r="AS179" s="505"/>
      <c r="AT179" s="505"/>
      <c r="AU179" s="505"/>
      <c r="AV179" s="505"/>
      <c r="AW179" s="505"/>
      <c r="AX179" s="505"/>
      <c r="AY179" s="505"/>
      <c r="AZ179" s="505"/>
      <c r="BA179" s="505"/>
      <c r="BB179" s="505"/>
      <c r="BC179" s="505"/>
      <c r="BD179" s="505"/>
    </row>
    <row r="180" spans="1:56" ht="9.9499999999999993" customHeight="1">
      <c r="A180" s="505"/>
      <c r="B180" s="505"/>
      <c r="C180" s="505"/>
      <c r="D180" s="505"/>
      <c r="E180" s="505"/>
      <c r="F180" s="505"/>
      <c r="G180" s="505"/>
      <c r="H180" s="505"/>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row>
    <row r="181" spans="1:56" ht="9.9499999999999993" customHeight="1">
      <c r="A181" s="505"/>
      <c r="B181" s="505"/>
      <c r="C181" s="505"/>
      <c r="D181" s="505"/>
      <c r="E181" s="505"/>
      <c r="F181" s="505"/>
      <c r="G181" s="505"/>
      <c r="H181" s="505"/>
      <c r="I181" s="505"/>
      <c r="J181" s="505"/>
      <c r="K181" s="505"/>
      <c r="L181" s="505"/>
      <c r="M181" s="505"/>
      <c r="N181" s="505"/>
      <c r="O181" s="505"/>
      <c r="P181" s="505"/>
      <c r="Q181" s="505"/>
      <c r="R181" s="505"/>
      <c r="S181" s="505"/>
      <c r="T181" s="505"/>
      <c r="U181" s="505"/>
      <c r="V181" s="505"/>
      <c r="W181" s="505"/>
      <c r="X181" s="505"/>
      <c r="Y181" s="505"/>
      <c r="Z181" s="505"/>
      <c r="AA181" s="505"/>
      <c r="AB181" s="505"/>
      <c r="AC181" s="505"/>
      <c r="AD181" s="505"/>
      <c r="AE181" s="505"/>
      <c r="AF181" s="505"/>
      <c r="AG181" s="505"/>
      <c r="AH181" s="505"/>
      <c r="AI181" s="505"/>
      <c r="AJ181" s="505"/>
      <c r="AK181" s="505"/>
      <c r="AL181" s="505"/>
      <c r="AM181" s="505"/>
      <c r="AN181" s="505"/>
      <c r="AO181" s="505"/>
      <c r="AP181" s="505"/>
      <c r="AQ181" s="505"/>
      <c r="AR181" s="505"/>
      <c r="AS181" s="505"/>
      <c r="AT181" s="505"/>
      <c r="AU181" s="505"/>
      <c r="AV181" s="505"/>
      <c r="AW181" s="505"/>
      <c r="AX181" s="505"/>
      <c r="AY181" s="505"/>
      <c r="AZ181" s="505"/>
      <c r="BA181" s="505"/>
      <c r="BB181" s="505"/>
      <c r="BC181" s="505"/>
      <c r="BD181" s="505"/>
    </row>
    <row r="182" spans="1:56" ht="9.9499999999999993" customHeight="1">
      <c r="A182" s="505"/>
      <c r="B182" s="505"/>
      <c r="C182" s="505"/>
      <c r="D182" s="505"/>
      <c r="E182" s="505"/>
      <c r="F182" s="505"/>
      <c r="G182" s="505"/>
      <c r="H182" s="505"/>
      <c r="I182" s="505"/>
      <c r="J182" s="505"/>
      <c r="K182" s="505"/>
      <c r="L182" s="505"/>
      <c r="M182" s="505"/>
      <c r="N182" s="505"/>
      <c r="O182" s="505"/>
      <c r="P182" s="505"/>
      <c r="Q182" s="505"/>
      <c r="R182" s="505"/>
      <c r="S182" s="505"/>
      <c r="T182" s="505"/>
      <c r="U182" s="505"/>
      <c r="V182" s="505"/>
      <c r="W182" s="505"/>
      <c r="X182" s="505"/>
      <c r="Y182" s="505"/>
      <c r="Z182" s="505"/>
      <c r="AA182" s="505"/>
      <c r="AB182" s="505"/>
      <c r="AC182" s="505"/>
      <c r="AD182" s="505"/>
      <c r="AE182" s="505"/>
      <c r="AF182" s="505"/>
      <c r="AG182" s="505"/>
      <c r="AH182" s="505"/>
      <c r="AI182" s="505"/>
      <c r="AJ182" s="505"/>
      <c r="AK182" s="505"/>
      <c r="AL182" s="505"/>
      <c r="AM182" s="505"/>
      <c r="AN182" s="505"/>
      <c r="AO182" s="505"/>
      <c r="AP182" s="505"/>
      <c r="AQ182" s="505"/>
      <c r="AR182" s="505"/>
      <c r="AS182" s="505"/>
      <c r="AT182" s="505"/>
      <c r="AU182" s="505"/>
      <c r="AV182" s="505"/>
      <c r="AW182" s="505"/>
      <c r="AX182" s="505"/>
      <c r="AY182" s="505"/>
      <c r="AZ182" s="505"/>
      <c r="BA182" s="505"/>
      <c r="BB182" s="505"/>
      <c r="BC182" s="505"/>
      <c r="BD182" s="505"/>
    </row>
    <row r="183" spans="1:56" ht="9.9499999999999993" customHeight="1">
      <c r="A183" s="505"/>
      <c r="B183" s="505"/>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5"/>
      <c r="AN183" s="505"/>
      <c r="AO183" s="505"/>
      <c r="AP183" s="505"/>
      <c r="AQ183" s="505"/>
      <c r="AR183" s="505"/>
      <c r="AS183" s="505"/>
      <c r="AT183" s="505"/>
      <c r="AU183" s="505"/>
      <c r="AV183" s="505"/>
      <c r="AW183" s="505"/>
      <c r="AX183" s="505"/>
      <c r="AY183" s="505"/>
      <c r="AZ183" s="505"/>
      <c r="BA183" s="505"/>
      <c r="BB183" s="505"/>
      <c r="BC183" s="505"/>
      <c r="BD183" s="505"/>
    </row>
    <row r="184" spans="1:56" ht="9.9499999999999993" customHeight="1">
      <c r="A184" s="505"/>
      <c r="B184" s="505"/>
      <c r="C184" s="505"/>
      <c r="D184" s="505"/>
      <c r="E184" s="505"/>
      <c r="F184" s="505"/>
      <c r="G184" s="505"/>
      <c r="H184" s="505"/>
      <c r="I184" s="505"/>
      <c r="J184" s="505"/>
      <c r="K184" s="505"/>
      <c r="L184" s="505"/>
      <c r="M184" s="505"/>
      <c r="N184" s="505"/>
      <c r="O184" s="505"/>
      <c r="P184" s="505"/>
      <c r="Q184" s="505"/>
      <c r="R184" s="505"/>
      <c r="S184" s="505"/>
      <c r="T184" s="505"/>
      <c r="U184" s="505"/>
      <c r="V184" s="505"/>
      <c r="W184" s="505"/>
      <c r="X184" s="505"/>
      <c r="Y184" s="505"/>
      <c r="Z184" s="505"/>
      <c r="AA184" s="505"/>
      <c r="AB184" s="505"/>
      <c r="AC184" s="505"/>
      <c r="AD184" s="505"/>
      <c r="AE184" s="505"/>
      <c r="AF184" s="505"/>
      <c r="AG184" s="505"/>
      <c r="AH184" s="505"/>
      <c r="AI184" s="505"/>
      <c r="AJ184" s="505"/>
      <c r="AK184" s="505"/>
      <c r="AL184" s="505"/>
      <c r="AM184" s="505"/>
      <c r="AN184" s="505"/>
      <c r="AO184" s="505"/>
      <c r="AP184" s="505"/>
      <c r="AQ184" s="505"/>
      <c r="AR184" s="505"/>
      <c r="AS184" s="505"/>
      <c r="AT184" s="505"/>
      <c r="AU184" s="505"/>
      <c r="AV184" s="505"/>
      <c r="AW184" s="505"/>
      <c r="AX184" s="505"/>
      <c r="AY184" s="505"/>
      <c r="AZ184" s="505"/>
      <c r="BA184" s="505"/>
      <c r="BB184" s="505"/>
      <c r="BC184" s="505"/>
      <c r="BD184" s="505"/>
    </row>
    <row r="185" spans="1:56" ht="9.9499999999999993" customHeight="1">
      <c r="A185" s="505"/>
      <c r="B185" s="505"/>
      <c r="C185" s="505"/>
      <c r="D185" s="505"/>
      <c r="E185" s="505"/>
      <c r="F185" s="505"/>
      <c r="G185" s="505"/>
      <c r="H185" s="505"/>
      <c r="I185" s="505"/>
      <c r="J185" s="505"/>
      <c r="K185" s="505"/>
      <c r="L185" s="505"/>
      <c r="M185" s="505"/>
      <c r="N185" s="505"/>
      <c r="O185" s="505"/>
      <c r="P185" s="505"/>
      <c r="Q185" s="505"/>
      <c r="R185" s="505"/>
      <c r="S185" s="505"/>
      <c r="T185" s="505"/>
      <c r="U185" s="505"/>
      <c r="V185" s="505"/>
      <c r="W185" s="505"/>
      <c r="X185" s="505"/>
      <c r="Y185" s="505"/>
      <c r="Z185" s="505"/>
      <c r="AA185" s="505"/>
      <c r="AB185" s="505"/>
      <c r="AC185" s="505"/>
      <c r="AD185" s="505"/>
      <c r="AE185" s="505"/>
      <c r="AF185" s="505"/>
      <c r="AG185" s="505"/>
      <c r="AH185" s="505"/>
      <c r="AI185" s="505"/>
      <c r="AJ185" s="505"/>
      <c r="AK185" s="505"/>
      <c r="AL185" s="505"/>
      <c r="AM185" s="505"/>
      <c r="AN185" s="505"/>
      <c r="AO185" s="505"/>
      <c r="AP185" s="505"/>
      <c r="AQ185" s="505"/>
      <c r="AR185" s="505"/>
      <c r="AS185" s="505"/>
      <c r="AT185" s="505"/>
      <c r="AU185" s="505"/>
      <c r="AV185" s="505"/>
      <c r="AW185" s="505"/>
      <c r="AX185" s="505"/>
      <c r="AY185" s="505"/>
      <c r="AZ185" s="505"/>
      <c r="BA185" s="505"/>
      <c r="BB185" s="505"/>
      <c r="BC185" s="505"/>
      <c r="BD185" s="505"/>
    </row>
    <row r="186" spans="1:56" ht="9.9499999999999993" customHeight="1">
      <c r="A186" s="505"/>
      <c r="B186" s="505"/>
      <c r="C186" s="505"/>
      <c r="D186" s="505"/>
      <c r="E186" s="505"/>
      <c r="F186" s="505"/>
      <c r="G186" s="505"/>
      <c r="H186" s="505"/>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row>
    <row r="187" spans="1:56" ht="9.9499999999999993" customHeight="1">
      <c r="A187" s="505"/>
      <c r="B187" s="505"/>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5"/>
      <c r="Z187" s="505"/>
      <c r="AA187" s="505"/>
      <c r="AB187" s="505"/>
      <c r="AC187" s="505"/>
      <c r="AD187" s="505"/>
      <c r="AE187" s="505"/>
      <c r="AF187" s="505"/>
      <c r="AG187" s="505"/>
      <c r="AH187" s="505"/>
      <c r="AI187" s="505"/>
      <c r="AJ187" s="505"/>
      <c r="AK187" s="505"/>
      <c r="AL187" s="505"/>
      <c r="AM187" s="505"/>
      <c r="AN187" s="505"/>
      <c r="AO187" s="505"/>
      <c r="AP187" s="505"/>
      <c r="AQ187" s="505"/>
      <c r="AR187" s="505"/>
      <c r="AS187" s="505"/>
      <c r="AT187" s="505"/>
      <c r="AU187" s="505"/>
      <c r="AV187" s="505"/>
      <c r="AW187" s="505"/>
      <c r="AX187" s="505"/>
      <c r="AY187" s="505"/>
      <c r="AZ187" s="505"/>
      <c r="BA187" s="505"/>
      <c r="BB187" s="505"/>
      <c r="BC187" s="505"/>
      <c r="BD187" s="505"/>
    </row>
    <row r="188" spans="1:56" ht="9.9499999999999993" customHeight="1">
      <c r="A188" s="505"/>
      <c r="B188" s="505"/>
      <c r="C188" s="505"/>
      <c r="D188" s="505"/>
      <c r="E188" s="505"/>
      <c r="F188" s="505"/>
      <c r="G188" s="505"/>
      <c r="H188" s="505"/>
      <c r="I188" s="505"/>
      <c r="J188" s="505"/>
      <c r="K188" s="505"/>
      <c r="L188" s="505"/>
      <c r="M188" s="505"/>
      <c r="N188" s="505"/>
      <c r="O188" s="505"/>
      <c r="P188" s="505"/>
      <c r="Q188" s="505"/>
      <c r="R188" s="505"/>
      <c r="S188" s="505"/>
      <c r="T188" s="505"/>
      <c r="U188" s="505"/>
      <c r="V188" s="505"/>
      <c r="W188" s="505"/>
      <c r="X188" s="505"/>
      <c r="Y188" s="505"/>
      <c r="Z188" s="505"/>
      <c r="AA188" s="505"/>
      <c r="AB188" s="505"/>
      <c r="AC188" s="505"/>
      <c r="AD188" s="505"/>
      <c r="AE188" s="505"/>
      <c r="AF188" s="505"/>
      <c r="AG188" s="505"/>
      <c r="AH188" s="505"/>
      <c r="AI188" s="505"/>
      <c r="AJ188" s="505"/>
      <c r="AK188" s="505"/>
      <c r="AL188" s="505"/>
      <c r="AM188" s="505"/>
      <c r="AN188" s="505"/>
      <c r="AO188" s="505"/>
      <c r="AP188" s="505"/>
      <c r="AQ188" s="505"/>
      <c r="AR188" s="505"/>
      <c r="AS188" s="505"/>
      <c r="AT188" s="505"/>
      <c r="AU188" s="505"/>
      <c r="AV188" s="505"/>
      <c r="AW188" s="505"/>
      <c r="AX188" s="505"/>
      <c r="AY188" s="505"/>
      <c r="AZ188" s="505"/>
      <c r="BA188" s="505"/>
      <c r="BB188" s="505"/>
      <c r="BC188" s="505"/>
      <c r="BD188" s="505"/>
    </row>
    <row r="189" spans="1:56" ht="9.9499999999999993" customHeight="1">
      <c r="A189" s="505"/>
      <c r="B189" s="505"/>
      <c r="C189" s="505"/>
      <c r="D189" s="505"/>
      <c r="E189" s="505"/>
      <c r="F189" s="505"/>
      <c r="G189" s="505"/>
      <c r="H189" s="505"/>
      <c r="I189" s="505"/>
      <c r="J189" s="505"/>
      <c r="K189" s="505"/>
      <c r="L189" s="505"/>
      <c r="M189" s="505"/>
      <c r="N189" s="505"/>
      <c r="O189" s="505"/>
      <c r="P189" s="505"/>
      <c r="Q189" s="505"/>
      <c r="R189" s="505"/>
      <c r="S189" s="505"/>
      <c r="T189" s="505"/>
      <c r="U189" s="505"/>
      <c r="V189" s="505"/>
      <c r="W189" s="505"/>
      <c r="X189" s="505"/>
      <c r="Y189" s="505"/>
      <c r="Z189" s="505"/>
      <c r="AA189" s="505"/>
      <c r="AB189" s="505"/>
      <c r="AC189" s="505"/>
      <c r="AD189" s="505"/>
      <c r="AE189" s="505"/>
      <c r="AF189" s="505"/>
      <c r="AG189" s="505"/>
      <c r="AH189" s="505"/>
      <c r="AI189" s="505"/>
      <c r="AJ189" s="505"/>
      <c r="AK189" s="505"/>
      <c r="AL189" s="505"/>
      <c r="AM189" s="505"/>
      <c r="AN189" s="505"/>
      <c r="AO189" s="505"/>
      <c r="AP189" s="505"/>
      <c r="AQ189" s="505"/>
      <c r="AR189" s="505"/>
      <c r="AS189" s="505"/>
      <c r="AT189" s="505"/>
      <c r="AU189" s="505"/>
      <c r="AV189" s="505"/>
      <c r="AW189" s="505"/>
      <c r="AX189" s="505"/>
      <c r="AY189" s="505"/>
      <c r="AZ189" s="505"/>
      <c r="BA189" s="505"/>
      <c r="BB189" s="505"/>
      <c r="BC189" s="505"/>
      <c r="BD189" s="505"/>
    </row>
    <row r="190" spans="1:56" ht="9.9499999999999993" customHeight="1">
      <c r="A190" s="505"/>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row>
    <row r="191" spans="1:56" ht="9.9499999999999993" customHeight="1">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505"/>
      <c r="AE191" s="505"/>
      <c r="AF191" s="505"/>
      <c r="AG191" s="505"/>
      <c r="AH191" s="505"/>
      <c r="AI191" s="505"/>
      <c r="AJ191" s="505"/>
      <c r="AK191" s="505"/>
      <c r="AL191" s="505"/>
      <c r="AM191" s="505"/>
      <c r="AN191" s="505"/>
      <c r="AO191" s="505"/>
      <c r="AP191" s="505"/>
      <c r="AQ191" s="505"/>
      <c r="AR191" s="505"/>
      <c r="AS191" s="505"/>
      <c r="AT191" s="505"/>
      <c r="AU191" s="505"/>
      <c r="AV191" s="505"/>
      <c r="AW191" s="505"/>
      <c r="AX191" s="505"/>
      <c r="AY191" s="505"/>
      <c r="AZ191" s="505"/>
      <c r="BA191" s="505"/>
      <c r="BB191" s="505"/>
      <c r="BC191" s="505"/>
      <c r="BD191" s="505"/>
    </row>
    <row r="192" spans="1:56" ht="9.9499999999999993" customHeight="1">
      <c r="A192" s="505"/>
      <c r="B192" s="505"/>
      <c r="C192" s="505"/>
      <c r="D192" s="505"/>
      <c r="E192" s="505"/>
      <c r="F192" s="505"/>
      <c r="G192" s="505"/>
      <c r="H192" s="505"/>
      <c r="I192" s="505"/>
      <c r="J192" s="505"/>
      <c r="K192" s="505"/>
      <c r="L192" s="505"/>
      <c r="M192" s="505"/>
      <c r="N192" s="505"/>
      <c r="O192" s="505"/>
      <c r="P192" s="505"/>
      <c r="Q192" s="505"/>
      <c r="R192" s="505"/>
      <c r="S192" s="505"/>
      <c r="T192" s="505"/>
      <c r="U192" s="505"/>
      <c r="V192" s="505"/>
      <c r="W192" s="505"/>
      <c r="X192" s="505"/>
      <c r="Y192" s="505"/>
      <c r="Z192" s="505"/>
      <c r="AA192" s="505"/>
      <c r="AB192" s="505"/>
      <c r="AC192" s="505"/>
      <c r="AD192" s="505"/>
      <c r="AE192" s="505"/>
      <c r="AF192" s="505"/>
      <c r="AG192" s="505"/>
      <c r="AH192" s="505"/>
      <c r="AI192" s="505"/>
      <c r="AJ192" s="505"/>
      <c r="AK192" s="505"/>
      <c r="AL192" s="505"/>
      <c r="AM192" s="505"/>
      <c r="AN192" s="505"/>
      <c r="AO192" s="505"/>
      <c r="AP192" s="505"/>
      <c r="AQ192" s="505"/>
      <c r="AR192" s="505"/>
      <c r="AS192" s="505"/>
      <c r="AT192" s="505"/>
      <c r="AU192" s="505"/>
      <c r="AV192" s="505"/>
      <c r="AW192" s="505"/>
      <c r="AX192" s="505"/>
      <c r="AY192" s="505"/>
      <c r="AZ192" s="505"/>
      <c r="BA192" s="505"/>
      <c r="BB192" s="505"/>
      <c r="BC192" s="505"/>
      <c r="BD192" s="505"/>
    </row>
    <row r="193" spans="1:56" ht="9.9499999999999993" customHeight="1">
      <c r="A193" s="505"/>
      <c r="B193" s="505"/>
      <c r="C193" s="505"/>
      <c r="D193" s="505"/>
      <c r="E193" s="505"/>
      <c r="F193" s="505"/>
      <c r="G193" s="505"/>
      <c r="H193" s="505"/>
      <c r="I193" s="505"/>
      <c r="J193" s="505"/>
      <c r="K193" s="505"/>
      <c r="L193" s="505"/>
      <c r="M193" s="505"/>
      <c r="N193" s="505"/>
      <c r="O193" s="505"/>
      <c r="P193" s="505"/>
      <c r="Q193" s="505"/>
      <c r="R193" s="505"/>
      <c r="S193" s="505"/>
      <c r="T193" s="505"/>
      <c r="U193" s="505"/>
      <c r="V193" s="505"/>
      <c r="W193" s="505"/>
      <c r="X193" s="505"/>
      <c r="Y193" s="505"/>
      <c r="Z193" s="505"/>
      <c r="AA193" s="505"/>
      <c r="AB193" s="505"/>
      <c r="AC193" s="505"/>
      <c r="AD193" s="505"/>
      <c r="AE193" s="505"/>
      <c r="AF193" s="505"/>
      <c r="AG193" s="505"/>
      <c r="AH193" s="505"/>
      <c r="AI193" s="505"/>
      <c r="AJ193" s="505"/>
      <c r="AK193" s="505"/>
      <c r="AL193" s="505"/>
      <c r="AM193" s="505"/>
      <c r="AN193" s="505"/>
      <c r="AO193" s="505"/>
      <c r="AP193" s="505"/>
      <c r="AQ193" s="505"/>
      <c r="AR193" s="505"/>
      <c r="AS193" s="505"/>
      <c r="AT193" s="505"/>
      <c r="AU193" s="505"/>
      <c r="AV193" s="505"/>
      <c r="AW193" s="505"/>
      <c r="AX193" s="505"/>
      <c r="AY193" s="505"/>
      <c r="AZ193" s="505"/>
      <c r="BA193" s="505"/>
      <c r="BB193" s="505"/>
      <c r="BC193" s="505"/>
      <c r="BD193" s="505"/>
    </row>
    <row r="194" spans="1:56" ht="9.9499999999999993" customHeight="1">
      <c r="A194" s="505"/>
      <c r="B194" s="505"/>
      <c r="C194" s="505"/>
      <c r="D194" s="505"/>
      <c r="E194" s="505"/>
      <c r="F194" s="505"/>
      <c r="G194" s="505"/>
      <c r="H194" s="505"/>
      <c r="I194" s="505"/>
      <c r="J194" s="505"/>
      <c r="K194" s="505"/>
      <c r="L194" s="505"/>
      <c r="M194" s="505"/>
      <c r="N194" s="505"/>
      <c r="O194" s="505"/>
      <c r="P194" s="505"/>
      <c r="Q194" s="505"/>
      <c r="R194" s="505"/>
      <c r="S194" s="505"/>
      <c r="T194" s="505"/>
      <c r="U194" s="505"/>
      <c r="V194" s="505"/>
      <c r="W194" s="505"/>
      <c r="X194" s="505"/>
      <c r="Y194" s="505"/>
      <c r="Z194" s="505"/>
      <c r="AA194" s="505"/>
      <c r="AB194" s="505"/>
      <c r="AC194" s="505"/>
      <c r="AD194" s="505"/>
      <c r="AE194" s="505"/>
      <c r="AF194" s="505"/>
      <c r="AG194" s="505"/>
      <c r="AH194" s="505"/>
      <c r="AI194" s="505"/>
      <c r="AJ194" s="505"/>
      <c r="AK194" s="505"/>
      <c r="AL194" s="505"/>
      <c r="AM194" s="505"/>
      <c r="AN194" s="505"/>
      <c r="AO194" s="505"/>
      <c r="AP194" s="505"/>
      <c r="AQ194" s="505"/>
      <c r="AR194" s="505"/>
      <c r="AS194" s="505"/>
      <c r="AT194" s="505"/>
      <c r="AU194" s="505"/>
      <c r="AV194" s="505"/>
      <c r="AW194" s="505"/>
      <c r="AX194" s="505"/>
      <c r="AY194" s="505"/>
      <c r="AZ194" s="505"/>
      <c r="BA194" s="505"/>
      <c r="BB194" s="505"/>
      <c r="BC194" s="505"/>
      <c r="BD194" s="505"/>
    </row>
    <row r="195" spans="1:56" ht="9.9499999999999993" customHeight="1">
      <c r="A195" s="505"/>
      <c r="B195" s="505"/>
      <c r="C195" s="505"/>
      <c r="D195" s="505"/>
      <c r="E195" s="505"/>
      <c r="F195" s="505"/>
      <c r="G195" s="505"/>
      <c r="H195" s="505"/>
      <c r="I195" s="505"/>
      <c r="J195" s="505"/>
      <c r="K195" s="505"/>
      <c r="L195" s="505"/>
      <c r="M195" s="505"/>
      <c r="N195" s="505"/>
      <c r="O195" s="505"/>
      <c r="P195" s="505"/>
      <c r="Q195" s="505"/>
      <c r="R195" s="505"/>
      <c r="S195" s="505"/>
      <c r="T195" s="505"/>
      <c r="U195" s="505"/>
      <c r="V195" s="505"/>
      <c r="W195" s="505"/>
      <c r="X195" s="505"/>
      <c r="Y195" s="505"/>
      <c r="Z195" s="505"/>
      <c r="AA195" s="505"/>
      <c r="AB195" s="505"/>
      <c r="AC195" s="505"/>
      <c r="AD195" s="505"/>
      <c r="AE195" s="505"/>
      <c r="AF195" s="505"/>
      <c r="AG195" s="505"/>
      <c r="AH195" s="505"/>
      <c r="AI195" s="505"/>
      <c r="AJ195" s="505"/>
      <c r="AK195" s="505"/>
      <c r="AL195" s="505"/>
      <c r="AM195" s="505"/>
      <c r="AN195" s="505"/>
      <c r="AO195" s="505"/>
      <c r="AP195" s="505"/>
      <c r="AQ195" s="505"/>
      <c r="AR195" s="505"/>
      <c r="AS195" s="505"/>
      <c r="AT195" s="505"/>
      <c r="AU195" s="505"/>
      <c r="AV195" s="505"/>
      <c r="AW195" s="505"/>
      <c r="AX195" s="505"/>
      <c r="AY195" s="505"/>
      <c r="AZ195" s="505"/>
      <c r="BA195" s="505"/>
      <c r="BB195" s="505"/>
      <c r="BC195" s="505"/>
      <c r="BD195" s="505"/>
    </row>
    <row r="196" spans="1:56" ht="9.9499999999999993" customHeight="1">
      <c r="A196" s="505"/>
      <c r="B196" s="505"/>
      <c r="C196" s="505"/>
      <c r="D196" s="505"/>
      <c r="E196" s="505"/>
      <c r="F196" s="505"/>
      <c r="G196" s="505"/>
      <c r="H196" s="505"/>
      <c r="I196" s="505"/>
      <c r="J196" s="505"/>
      <c r="K196" s="505"/>
      <c r="L196" s="505"/>
      <c r="M196" s="505"/>
      <c r="N196" s="505"/>
      <c r="O196" s="505"/>
      <c r="P196" s="505"/>
      <c r="Q196" s="505"/>
      <c r="R196" s="505"/>
      <c r="S196" s="505"/>
      <c r="T196" s="505"/>
      <c r="U196" s="505"/>
      <c r="V196" s="505"/>
      <c r="W196" s="505"/>
      <c r="X196" s="505"/>
      <c r="Y196" s="505"/>
      <c r="Z196" s="505"/>
      <c r="AA196" s="505"/>
      <c r="AB196" s="505"/>
      <c r="AC196" s="505"/>
      <c r="AD196" s="505"/>
      <c r="AE196" s="505"/>
      <c r="AF196" s="505"/>
      <c r="AG196" s="505"/>
      <c r="AH196" s="505"/>
      <c r="AI196" s="505"/>
      <c r="AJ196" s="505"/>
      <c r="AK196" s="505"/>
      <c r="AL196" s="505"/>
      <c r="AM196" s="505"/>
      <c r="AN196" s="505"/>
      <c r="AO196" s="505"/>
      <c r="AP196" s="505"/>
      <c r="AQ196" s="505"/>
      <c r="AR196" s="505"/>
      <c r="AS196" s="505"/>
      <c r="AT196" s="505"/>
      <c r="AU196" s="505"/>
      <c r="AV196" s="505"/>
      <c r="AW196" s="505"/>
      <c r="AX196" s="505"/>
      <c r="AY196" s="505"/>
      <c r="AZ196" s="505"/>
      <c r="BA196" s="505"/>
      <c r="BB196" s="505"/>
      <c r="BC196" s="505"/>
      <c r="BD196" s="505"/>
    </row>
    <row r="197" spans="1:56" ht="9.9499999999999993" customHeight="1">
      <c r="A197" s="505"/>
      <c r="B197" s="505"/>
      <c r="C197" s="505"/>
      <c r="D197" s="505"/>
      <c r="E197" s="505"/>
      <c r="F197" s="505"/>
      <c r="G197" s="505"/>
      <c r="H197" s="505"/>
      <c r="I197" s="505"/>
      <c r="J197" s="505"/>
      <c r="K197" s="505"/>
      <c r="L197" s="505"/>
      <c r="M197" s="505"/>
      <c r="N197" s="505"/>
      <c r="O197" s="505"/>
      <c r="P197" s="505"/>
      <c r="Q197" s="505"/>
      <c r="R197" s="505"/>
      <c r="S197" s="505"/>
      <c r="T197" s="505"/>
      <c r="U197" s="505"/>
      <c r="V197" s="505"/>
      <c r="W197" s="505"/>
      <c r="X197" s="505"/>
      <c r="Y197" s="505"/>
      <c r="Z197" s="505"/>
      <c r="AA197" s="505"/>
      <c r="AB197" s="505"/>
      <c r="AC197" s="505"/>
      <c r="AD197" s="505"/>
      <c r="AE197" s="505"/>
      <c r="AF197" s="505"/>
      <c r="AG197" s="505"/>
      <c r="AH197" s="505"/>
      <c r="AI197" s="505"/>
      <c r="AJ197" s="505"/>
      <c r="AK197" s="505"/>
      <c r="AL197" s="505"/>
      <c r="AM197" s="505"/>
      <c r="AN197" s="505"/>
      <c r="AO197" s="505"/>
      <c r="AP197" s="505"/>
      <c r="AQ197" s="505"/>
      <c r="AR197" s="505"/>
      <c r="AS197" s="505"/>
      <c r="AT197" s="505"/>
      <c r="AU197" s="505"/>
      <c r="AV197" s="505"/>
      <c r="AW197" s="505"/>
      <c r="AX197" s="505"/>
      <c r="AY197" s="505"/>
      <c r="AZ197" s="505"/>
      <c r="BA197" s="505"/>
      <c r="BB197" s="505"/>
      <c r="BC197" s="505"/>
      <c r="BD197" s="505"/>
    </row>
    <row r="198" spans="1:56" ht="9.9499999999999993" customHeight="1">
      <c r="A198" s="505"/>
      <c r="B198" s="505"/>
      <c r="C198" s="505"/>
      <c r="D198" s="505"/>
      <c r="E198" s="505"/>
      <c r="F198" s="505"/>
      <c r="G198" s="505"/>
      <c r="H198" s="505"/>
      <c r="I198" s="505"/>
      <c r="J198" s="505"/>
      <c r="K198" s="505"/>
      <c r="L198" s="505"/>
      <c r="M198" s="505"/>
      <c r="N198" s="505"/>
      <c r="O198" s="505"/>
      <c r="P198" s="505"/>
      <c r="Q198" s="505"/>
      <c r="R198" s="505"/>
      <c r="S198" s="505"/>
      <c r="T198" s="505"/>
      <c r="U198" s="505"/>
      <c r="V198" s="505"/>
      <c r="W198" s="505"/>
      <c r="X198" s="505"/>
      <c r="Y198" s="505"/>
      <c r="Z198" s="505"/>
      <c r="AA198" s="505"/>
      <c r="AB198" s="505"/>
      <c r="AC198" s="505"/>
      <c r="AD198" s="505"/>
      <c r="AE198" s="505"/>
      <c r="AF198" s="505"/>
      <c r="AG198" s="505"/>
      <c r="AH198" s="505"/>
      <c r="AI198" s="505"/>
      <c r="AJ198" s="505"/>
      <c r="AK198" s="505"/>
      <c r="AL198" s="505"/>
      <c r="AM198" s="505"/>
      <c r="AN198" s="505"/>
      <c r="AO198" s="505"/>
      <c r="AP198" s="505"/>
      <c r="AQ198" s="505"/>
      <c r="AR198" s="505"/>
      <c r="AS198" s="505"/>
      <c r="AT198" s="505"/>
      <c r="AU198" s="505"/>
      <c r="AV198" s="505"/>
      <c r="AW198" s="505"/>
      <c r="AX198" s="505"/>
      <c r="AY198" s="505"/>
      <c r="AZ198" s="505"/>
      <c r="BA198" s="505"/>
      <c r="BB198" s="505"/>
      <c r="BC198" s="505"/>
      <c r="BD198" s="505"/>
    </row>
    <row r="199" spans="1:56" ht="9.9499999999999993" customHeight="1">
      <c r="A199" s="505"/>
      <c r="B199" s="505"/>
      <c r="C199" s="505"/>
      <c r="D199" s="505"/>
      <c r="E199" s="505"/>
      <c r="F199" s="505"/>
      <c r="G199" s="505"/>
      <c r="H199" s="505"/>
      <c r="I199" s="505"/>
      <c r="J199" s="505"/>
      <c r="K199" s="505"/>
      <c r="L199" s="505"/>
      <c r="M199" s="505"/>
      <c r="N199" s="505"/>
      <c r="O199" s="505"/>
      <c r="P199" s="505"/>
      <c r="Q199" s="505"/>
      <c r="R199" s="505"/>
      <c r="S199" s="505"/>
      <c r="T199" s="505"/>
      <c r="U199" s="505"/>
      <c r="V199" s="505"/>
      <c r="W199" s="505"/>
      <c r="X199" s="505"/>
      <c r="Y199" s="505"/>
      <c r="Z199" s="505"/>
      <c r="AA199" s="505"/>
      <c r="AB199" s="505"/>
      <c r="AC199" s="505"/>
      <c r="AD199" s="505"/>
      <c r="AE199" s="505"/>
      <c r="AF199" s="505"/>
      <c r="AG199" s="505"/>
      <c r="AH199" s="505"/>
      <c r="AI199" s="505"/>
      <c r="AJ199" s="505"/>
      <c r="AK199" s="505"/>
      <c r="AL199" s="505"/>
      <c r="AM199" s="505"/>
      <c r="AN199" s="505"/>
      <c r="AO199" s="505"/>
      <c r="AP199" s="505"/>
      <c r="AQ199" s="505"/>
      <c r="AR199" s="505"/>
      <c r="AS199" s="505"/>
      <c r="AT199" s="505"/>
      <c r="AU199" s="505"/>
      <c r="AV199" s="505"/>
      <c r="AW199" s="505"/>
      <c r="AX199" s="505"/>
      <c r="AY199" s="505"/>
      <c r="AZ199" s="505"/>
      <c r="BA199" s="505"/>
      <c r="BB199" s="505"/>
      <c r="BC199" s="505"/>
      <c r="BD199" s="505"/>
    </row>
    <row r="200" spans="1:56" ht="9.9499999999999993" customHeight="1">
      <c r="A200" s="505"/>
      <c r="B200" s="505"/>
      <c r="C200" s="505"/>
      <c r="D200" s="505"/>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505"/>
      <c r="AE200" s="505"/>
      <c r="AF200" s="505"/>
      <c r="AG200" s="505"/>
      <c r="AH200" s="505"/>
      <c r="AI200" s="505"/>
      <c r="AJ200" s="505"/>
      <c r="AK200" s="505"/>
      <c r="AL200" s="505"/>
      <c r="AM200" s="505"/>
      <c r="AN200" s="505"/>
      <c r="AO200" s="505"/>
      <c r="AP200" s="505"/>
      <c r="AQ200" s="505"/>
      <c r="AR200" s="505"/>
      <c r="AS200" s="505"/>
      <c r="AT200" s="505"/>
      <c r="AU200" s="505"/>
      <c r="AV200" s="505"/>
      <c r="AW200" s="505"/>
      <c r="AX200" s="505"/>
      <c r="AY200" s="505"/>
      <c r="AZ200" s="505"/>
      <c r="BA200" s="505"/>
      <c r="BB200" s="505"/>
      <c r="BC200" s="505"/>
      <c r="BD200" s="505"/>
    </row>
    <row r="201" spans="1:56" ht="9.9499999999999993" customHeight="1">
      <c r="A201" s="505"/>
      <c r="B201" s="505"/>
      <c r="C201" s="505"/>
      <c r="D201" s="505"/>
      <c r="E201" s="505"/>
      <c r="F201" s="505"/>
      <c r="G201" s="505"/>
      <c r="H201" s="505"/>
      <c r="I201" s="505"/>
      <c r="J201" s="505"/>
      <c r="K201" s="505"/>
      <c r="L201" s="505"/>
      <c r="M201" s="505"/>
      <c r="N201" s="505"/>
      <c r="O201" s="505"/>
      <c r="P201" s="505"/>
      <c r="Q201" s="505"/>
      <c r="R201" s="505"/>
      <c r="S201" s="505"/>
      <c r="T201" s="505"/>
      <c r="U201" s="505"/>
      <c r="V201" s="505"/>
      <c r="W201" s="505"/>
      <c r="X201" s="505"/>
      <c r="Y201" s="505"/>
      <c r="Z201" s="505"/>
      <c r="AA201" s="505"/>
      <c r="AB201" s="505"/>
      <c r="AC201" s="505"/>
      <c r="AD201" s="505"/>
      <c r="AE201" s="505"/>
      <c r="AF201" s="505"/>
      <c r="AG201" s="505"/>
      <c r="AH201" s="505"/>
      <c r="AI201" s="505"/>
      <c r="AJ201" s="505"/>
      <c r="AK201" s="505"/>
      <c r="AL201" s="505"/>
      <c r="AM201" s="505"/>
      <c r="AN201" s="505"/>
      <c r="AO201" s="505"/>
      <c r="AP201" s="505"/>
      <c r="AQ201" s="505"/>
      <c r="AR201" s="505"/>
      <c r="AS201" s="505"/>
      <c r="AT201" s="505"/>
      <c r="AU201" s="505"/>
      <c r="AV201" s="505"/>
      <c r="AW201" s="505"/>
      <c r="AX201" s="505"/>
      <c r="AY201" s="505"/>
      <c r="AZ201" s="505"/>
      <c r="BA201" s="505"/>
      <c r="BB201" s="505"/>
      <c r="BC201" s="505"/>
      <c r="BD201" s="505"/>
    </row>
    <row r="202" spans="1:56" ht="9.9499999999999993" customHeight="1">
      <c r="A202" s="505"/>
      <c r="B202" s="505"/>
      <c r="C202" s="505"/>
      <c r="D202" s="505"/>
      <c r="E202" s="505"/>
      <c r="F202" s="505"/>
      <c r="G202" s="505"/>
      <c r="H202" s="505"/>
      <c r="I202" s="505"/>
      <c r="J202" s="505"/>
      <c r="K202" s="505"/>
      <c r="L202" s="505"/>
      <c r="M202" s="505"/>
      <c r="N202" s="505"/>
      <c r="O202" s="505"/>
      <c r="P202" s="505"/>
      <c r="Q202" s="505"/>
      <c r="R202" s="505"/>
      <c r="S202" s="505"/>
      <c r="T202" s="505"/>
      <c r="U202" s="505"/>
      <c r="V202" s="505"/>
      <c r="W202" s="505"/>
      <c r="X202" s="505"/>
      <c r="Y202" s="505"/>
      <c r="Z202" s="505"/>
      <c r="AA202" s="505"/>
      <c r="AB202" s="505"/>
      <c r="AC202" s="505"/>
      <c r="AD202" s="505"/>
      <c r="AE202" s="505"/>
      <c r="AF202" s="505"/>
      <c r="AG202" s="505"/>
      <c r="AH202" s="505"/>
      <c r="AI202" s="505"/>
      <c r="AJ202" s="505"/>
      <c r="AK202" s="505"/>
      <c r="AL202" s="505"/>
      <c r="AM202" s="505"/>
      <c r="AN202" s="505"/>
      <c r="AO202" s="505"/>
      <c r="AP202" s="505"/>
      <c r="AQ202" s="505"/>
      <c r="AR202" s="505"/>
      <c r="AS202" s="505"/>
      <c r="AT202" s="505"/>
      <c r="AU202" s="505"/>
      <c r="AV202" s="505"/>
      <c r="AW202" s="505"/>
      <c r="AX202" s="505"/>
      <c r="AY202" s="505"/>
      <c r="AZ202" s="505"/>
      <c r="BA202" s="505"/>
      <c r="BB202" s="505"/>
      <c r="BC202" s="505"/>
      <c r="BD202" s="505"/>
    </row>
    <row r="203" spans="1:56" ht="9.9499999999999993" customHeight="1">
      <c r="A203" s="505"/>
      <c r="B203" s="505"/>
      <c r="C203" s="505"/>
      <c r="D203" s="505"/>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row>
    <row r="204" spans="1:56" ht="9.9499999999999993" customHeight="1">
      <c r="A204" s="505"/>
      <c r="B204" s="505"/>
      <c r="C204" s="505"/>
      <c r="D204" s="505"/>
      <c r="E204" s="505"/>
      <c r="F204" s="505"/>
      <c r="G204" s="505"/>
      <c r="H204" s="505"/>
      <c r="I204" s="505"/>
      <c r="J204" s="505"/>
      <c r="K204" s="505"/>
      <c r="L204" s="505"/>
      <c r="M204" s="505"/>
      <c r="N204" s="505"/>
      <c r="O204" s="505"/>
      <c r="P204" s="505"/>
      <c r="Q204" s="505"/>
      <c r="R204" s="505"/>
      <c r="S204" s="505"/>
      <c r="T204" s="505"/>
      <c r="U204" s="505"/>
      <c r="V204" s="505"/>
      <c r="W204" s="505"/>
      <c r="X204" s="505"/>
      <c r="Y204" s="505"/>
      <c r="Z204" s="505"/>
      <c r="AA204" s="505"/>
      <c r="AB204" s="505"/>
      <c r="AC204" s="505"/>
      <c r="AD204" s="505"/>
      <c r="AE204" s="505"/>
      <c r="AF204" s="505"/>
      <c r="AG204" s="505"/>
      <c r="AH204" s="505"/>
      <c r="AI204" s="505"/>
      <c r="AJ204" s="505"/>
      <c r="AK204" s="505"/>
      <c r="AL204" s="505"/>
      <c r="AM204" s="505"/>
      <c r="AN204" s="505"/>
      <c r="AO204" s="505"/>
      <c r="AP204" s="505"/>
      <c r="AQ204" s="505"/>
      <c r="AR204" s="505"/>
      <c r="AS204" s="505"/>
      <c r="AT204" s="505"/>
      <c r="AU204" s="505"/>
      <c r="AV204" s="505"/>
      <c r="AW204" s="505"/>
      <c r="AX204" s="505"/>
      <c r="AY204" s="505"/>
      <c r="AZ204" s="505"/>
      <c r="BA204" s="505"/>
      <c r="BB204" s="505"/>
      <c r="BC204" s="505"/>
      <c r="BD204" s="505"/>
    </row>
    <row r="205" spans="1:56" ht="9.9499999999999993" customHeight="1">
      <c r="A205" s="505"/>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505"/>
      <c r="AE205" s="505"/>
      <c r="AF205" s="505"/>
      <c r="AG205" s="505"/>
      <c r="AH205" s="505"/>
      <c r="AI205" s="505"/>
      <c r="AJ205" s="505"/>
      <c r="AK205" s="505"/>
      <c r="AL205" s="505"/>
      <c r="AM205" s="505"/>
      <c r="AN205" s="505"/>
      <c r="AO205" s="505"/>
      <c r="AP205" s="505"/>
      <c r="AQ205" s="505"/>
      <c r="AR205" s="505"/>
      <c r="AS205" s="505"/>
      <c r="AT205" s="505"/>
      <c r="AU205" s="505"/>
      <c r="AV205" s="505"/>
      <c r="AW205" s="505"/>
      <c r="AX205" s="505"/>
      <c r="AY205" s="505"/>
      <c r="AZ205" s="505"/>
      <c r="BA205" s="505"/>
      <c r="BB205" s="505"/>
      <c r="BC205" s="505"/>
      <c r="BD205" s="505"/>
    </row>
    <row r="206" spans="1:56" ht="9.9499999999999993" customHeight="1">
      <c r="A206" s="505"/>
      <c r="B206" s="505"/>
      <c r="C206" s="505"/>
      <c r="D206" s="505"/>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505"/>
      <c r="AE206" s="505"/>
      <c r="AF206" s="505"/>
      <c r="AG206" s="505"/>
      <c r="AH206" s="505"/>
      <c r="AI206" s="505"/>
      <c r="AJ206" s="505"/>
      <c r="AK206" s="505"/>
      <c r="AL206" s="505"/>
      <c r="AM206" s="505"/>
      <c r="AN206" s="505"/>
      <c r="AO206" s="505"/>
      <c r="AP206" s="505"/>
      <c r="AQ206" s="505"/>
      <c r="AR206" s="505"/>
      <c r="AS206" s="505"/>
      <c r="AT206" s="505"/>
      <c r="AU206" s="505"/>
      <c r="AV206" s="505"/>
      <c r="AW206" s="505"/>
      <c r="AX206" s="505"/>
      <c r="AY206" s="505"/>
      <c r="AZ206" s="505"/>
      <c r="BA206" s="505"/>
      <c r="BB206" s="505"/>
      <c r="BC206" s="505"/>
      <c r="BD206" s="505"/>
    </row>
    <row r="207" spans="1:56" ht="9.9499999999999993" customHeight="1">
      <c r="A207" s="505"/>
      <c r="B207" s="505"/>
      <c r="C207" s="505"/>
      <c r="D207" s="505"/>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505"/>
      <c r="AE207" s="505"/>
      <c r="AF207" s="505"/>
      <c r="AG207" s="505"/>
      <c r="AH207" s="505"/>
      <c r="AI207" s="505"/>
      <c r="AJ207" s="505"/>
      <c r="AK207" s="505"/>
      <c r="AL207" s="505"/>
      <c r="AM207" s="505"/>
      <c r="AN207" s="505"/>
      <c r="AO207" s="505"/>
      <c r="AP207" s="505"/>
      <c r="AQ207" s="505"/>
      <c r="AR207" s="505"/>
      <c r="AS207" s="505"/>
      <c r="AT207" s="505"/>
      <c r="AU207" s="505"/>
      <c r="AV207" s="505"/>
      <c r="AW207" s="505"/>
      <c r="AX207" s="505"/>
      <c r="AY207" s="505"/>
      <c r="AZ207" s="505"/>
      <c r="BA207" s="505"/>
      <c r="BB207" s="505"/>
      <c r="BC207" s="505"/>
      <c r="BD207" s="505"/>
    </row>
    <row r="208" spans="1:56" ht="9.9499999999999993" customHeight="1">
      <c r="A208" s="505"/>
      <c r="B208" s="505"/>
      <c r="C208" s="505"/>
      <c r="D208" s="505"/>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505"/>
      <c r="AE208" s="505"/>
      <c r="AF208" s="505"/>
      <c r="AG208" s="505"/>
      <c r="AH208" s="505"/>
      <c r="AI208" s="505"/>
      <c r="AJ208" s="505"/>
      <c r="AK208" s="505"/>
      <c r="AL208" s="505"/>
      <c r="AM208" s="505"/>
      <c r="AN208" s="505"/>
      <c r="AO208" s="505"/>
      <c r="AP208" s="505"/>
      <c r="AQ208" s="505"/>
      <c r="AR208" s="505"/>
      <c r="AS208" s="505"/>
      <c r="AT208" s="505"/>
      <c r="AU208" s="505"/>
      <c r="AV208" s="505"/>
      <c r="AW208" s="505"/>
      <c r="AX208" s="505"/>
      <c r="AY208" s="505"/>
      <c r="AZ208" s="505"/>
      <c r="BA208" s="505"/>
      <c r="BB208" s="505"/>
      <c r="BC208" s="505"/>
      <c r="BD208" s="505"/>
    </row>
    <row r="209" spans="1:56" ht="9.9499999999999993" customHeight="1">
      <c r="A209" s="505"/>
      <c r="B209" s="505"/>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c r="AG209" s="505"/>
      <c r="AH209" s="505"/>
      <c r="AI209" s="505"/>
      <c r="AJ209" s="505"/>
      <c r="AK209" s="505"/>
      <c r="AL209" s="505"/>
      <c r="AM209" s="505"/>
      <c r="AN209" s="505"/>
      <c r="AO209" s="505"/>
      <c r="AP209" s="505"/>
      <c r="AQ209" s="505"/>
      <c r="AR209" s="505"/>
      <c r="AS209" s="505"/>
      <c r="AT209" s="505"/>
      <c r="AU209" s="505"/>
      <c r="AV209" s="505"/>
      <c r="AW209" s="505"/>
      <c r="AX209" s="505"/>
      <c r="AY209" s="505"/>
      <c r="AZ209" s="505"/>
      <c r="BA209" s="505"/>
      <c r="BB209" s="505"/>
      <c r="BC209" s="505"/>
      <c r="BD209" s="505"/>
    </row>
    <row r="210" spans="1:56" ht="9.9499999999999993" customHeight="1">
      <c r="A210" s="505"/>
      <c r="B210" s="505"/>
      <c r="C210" s="505"/>
      <c r="D210" s="505"/>
      <c r="E210" s="505"/>
      <c r="F210" s="505"/>
      <c r="G210" s="505"/>
      <c r="H210" s="505"/>
      <c r="I210" s="505"/>
      <c r="J210" s="505"/>
      <c r="K210" s="505"/>
      <c r="L210" s="505"/>
      <c r="M210" s="505"/>
      <c r="N210" s="505"/>
      <c r="O210" s="505"/>
      <c r="P210" s="505"/>
      <c r="Q210" s="505"/>
      <c r="R210" s="505"/>
      <c r="S210" s="505"/>
      <c r="T210" s="505"/>
      <c r="U210" s="505"/>
      <c r="V210" s="505"/>
      <c r="W210" s="505"/>
      <c r="X210" s="505"/>
      <c r="Y210" s="505"/>
      <c r="Z210" s="505"/>
      <c r="AA210" s="505"/>
      <c r="AB210" s="505"/>
      <c r="AC210" s="505"/>
      <c r="AD210" s="505"/>
      <c r="AE210" s="505"/>
      <c r="AF210" s="505"/>
      <c r="AG210" s="505"/>
      <c r="AH210" s="505"/>
      <c r="AI210" s="505"/>
      <c r="AJ210" s="505"/>
      <c r="AK210" s="505"/>
      <c r="AL210" s="505"/>
      <c r="AM210" s="505"/>
      <c r="AN210" s="505"/>
      <c r="AO210" s="505"/>
      <c r="AP210" s="505"/>
      <c r="AQ210" s="505"/>
      <c r="AR210" s="505"/>
      <c r="AS210" s="505"/>
      <c r="AT210" s="505"/>
      <c r="AU210" s="505"/>
      <c r="AV210" s="505"/>
      <c r="AW210" s="505"/>
      <c r="AX210" s="505"/>
      <c r="AY210" s="505"/>
      <c r="AZ210" s="505"/>
      <c r="BA210" s="505"/>
      <c r="BB210" s="505"/>
      <c r="BC210" s="505"/>
      <c r="BD210" s="505"/>
    </row>
    <row r="211" spans="1:56" ht="9.9499999999999993" customHeight="1">
      <c r="A211" s="505"/>
      <c r="B211" s="505"/>
      <c r="C211" s="505"/>
      <c r="D211" s="505"/>
      <c r="E211" s="505"/>
      <c r="F211" s="505"/>
      <c r="G211" s="505"/>
      <c r="H211" s="505"/>
      <c r="I211" s="505"/>
      <c r="J211" s="505"/>
      <c r="K211" s="505"/>
      <c r="L211" s="505"/>
      <c r="M211" s="505"/>
      <c r="N211" s="505"/>
      <c r="O211" s="505"/>
      <c r="P211" s="505"/>
      <c r="Q211" s="505"/>
      <c r="R211" s="505"/>
      <c r="S211" s="505"/>
      <c r="T211" s="505"/>
      <c r="U211" s="505"/>
      <c r="V211" s="505"/>
      <c r="W211" s="505"/>
      <c r="X211" s="505"/>
      <c r="Y211" s="505"/>
      <c r="Z211" s="505"/>
      <c r="AA211" s="505"/>
      <c r="AB211" s="505"/>
      <c r="AC211" s="505"/>
      <c r="AD211" s="505"/>
      <c r="AE211" s="505"/>
      <c r="AF211" s="505"/>
      <c r="AG211" s="505"/>
      <c r="AH211" s="505"/>
      <c r="AI211" s="505"/>
      <c r="AJ211" s="505"/>
      <c r="AK211" s="505"/>
      <c r="AL211" s="505"/>
      <c r="AM211" s="505"/>
      <c r="AN211" s="505"/>
      <c r="AO211" s="505"/>
      <c r="AP211" s="505"/>
      <c r="AQ211" s="505"/>
      <c r="AR211" s="505"/>
      <c r="AS211" s="505"/>
      <c r="AT211" s="505"/>
      <c r="AU211" s="505"/>
      <c r="AV211" s="505"/>
      <c r="AW211" s="505"/>
      <c r="AX211" s="505"/>
      <c r="AY211" s="505"/>
      <c r="AZ211" s="505"/>
      <c r="BA211" s="505"/>
      <c r="BB211" s="505"/>
      <c r="BC211" s="505"/>
      <c r="BD211" s="505"/>
    </row>
    <row r="212" spans="1:56" ht="9.9499999999999993" customHeight="1">
      <c r="A212" s="505"/>
      <c r="B212" s="505"/>
      <c r="C212" s="505"/>
      <c r="D212" s="505"/>
      <c r="E212" s="505"/>
      <c r="F212" s="505"/>
      <c r="G212" s="505"/>
      <c r="H212" s="505"/>
      <c r="I212" s="505"/>
      <c r="J212" s="505"/>
      <c r="K212" s="505"/>
      <c r="L212" s="505"/>
      <c r="M212" s="505"/>
      <c r="N212" s="505"/>
      <c r="O212" s="505"/>
      <c r="P212" s="505"/>
      <c r="Q212" s="505"/>
      <c r="R212" s="505"/>
      <c r="S212" s="505"/>
      <c r="T212" s="505"/>
      <c r="U212" s="505"/>
      <c r="V212" s="505"/>
      <c r="W212" s="505"/>
      <c r="X212" s="505"/>
      <c r="Y212" s="505"/>
      <c r="Z212" s="505"/>
      <c r="AA212" s="505"/>
      <c r="AB212" s="505"/>
      <c r="AC212" s="505"/>
      <c r="AD212" s="505"/>
      <c r="AE212" s="505"/>
      <c r="AF212" s="505"/>
      <c r="AG212" s="505"/>
      <c r="AH212" s="505"/>
      <c r="AI212" s="505"/>
      <c r="AJ212" s="505"/>
      <c r="AK212" s="505"/>
      <c r="AL212" s="505"/>
      <c r="AM212" s="505"/>
      <c r="AN212" s="505"/>
      <c r="AO212" s="505"/>
      <c r="AP212" s="505"/>
      <c r="AQ212" s="505"/>
      <c r="AR212" s="505"/>
      <c r="AS212" s="505"/>
      <c r="AT212" s="505"/>
      <c r="AU212" s="505"/>
      <c r="AV212" s="505"/>
      <c r="AW212" s="505"/>
      <c r="AX212" s="505"/>
      <c r="AY212" s="505"/>
      <c r="AZ212" s="505"/>
      <c r="BA212" s="505"/>
      <c r="BB212" s="505"/>
      <c r="BC212" s="505"/>
      <c r="BD212" s="505"/>
    </row>
    <row r="213" spans="1:56" ht="9.9499999999999993" customHeight="1">
      <c r="A213" s="505"/>
      <c r="B213" s="505"/>
      <c r="C213" s="505"/>
      <c r="D213" s="505"/>
      <c r="E213" s="505"/>
      <c r="F213" s="505"/>
      <c r="G213" s="505"/>
      <c r="H213" s="505"/>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505"/>
      <c r="AE213" s="505"/>
      <c r="AF213" s="505"/>
      <c r="AG213" s="505"/>
      <c r="AH213" s="505"/>
      <c r="AI213" s="505"/>
      <c r="AJ213" s="505"/>
      <c r="AK213" s="505"/>
      <c r="AL213" s="505"/>
      <c r="AM213" s="505"/>
      <c r="AN213" s="505"/>
      <c r="AO213" s="505"/>
      <c r="AP213" s="505"/>
      <c r="AQ213" s="505"/>
      <c r="AR213" s="505"/>
      <c r="AS213" s="505"/>
      <c r="AT213" s="505"/>
      <c r="AU213" s="505"/>
      <c r="AV213" s="505"/>
      <c r="AW213" s="505"/>
      <c r="AX213" s="505"/>
      <c r="AY213" s="505"/>
      <c r="AZ213" s="505"/>
      <c r="BA213" s="505"/>
      <c r="BB213" s="505"/>
      <c r="BC213" s="505"/>
      <c r="BD213" s="505"/>
    </row>
    <row r="214" spans="1:56" ht="9.9499999999999993" customHeight="1">
      <c r="A214" s="505"/>
      <c r="B214" s="505"/>
      <c r="C214" s="505"/>
      <c r="D214" s="505"/>
      <c r="E214" s="505"/>
      <c r="F214" s="505"/>
      <c r="G214" s="505"/>
      <c r="H214" s="505"/>
      <c r="I214" s="505"/>
      <c r="J214" s="505"/>
      <c r="K214" s="505"/>
      <c r="L214" s="505"/>
      <c r="M214" s="505"/>
      <c r="N214" s="505"/>
      <c r="O214" s="505"/>
      <c r="P214" s="505"/>
      <c r="Q214" s="505"/>
      <c r="R214" s="505"/>
      <c r="S214" s="505"/>
      <c r="T214" s="505"/>
      <c r="U214" s="505"/>
      <c r="V214" s="505"/>
      <c r="W214" s="505"/>
      <c r="X214" s="505"/>
      <c r="Y214" s="505"/>
      <c r="Z214" s="505"/>
      <c r="AA214" s="505"/>
      <c r="AB214" s="505"/>
      <c r="AC214" s="505"/>
      <c r="AD214" s="505"/>
      <c r="AE214" s="505"/>
      <c r="AF214" s="505"/>
      <c r="AG214" s="505"/>
      <c r="AH214" s="505"/>
      <c r="AI214" s="505"/>
      <c r="AJ214" s="505"/>
      <c r="AK214" s="505"/>
      <c r="AL214" s="505"/>
      <c r="AM214" s="505"/>
      <c r="AN214" s="505"/>
      <c r="AO214" s="505"/>
      <c r="AP214" s="505"/>
      <c r="AQ214" s="505"/>
      <c r="AR214" s="505"/>
      <c r="AS214" s="505"/>
      <c r="AT214" s="505"/>
      <c r="AU214" s="505"/>
      <c r="AV214" s="505"/>
      <c r="AW214" s="505"/>
      <c r="AX214" s="505"/>
      <c r="AY214" s="505"/>
      <c r="AZ214" s="505"/>
      <c r="BA214" s="505"/>
      <c r="BB214" s="505"/>
      <c r="BC214" s="505"/>
      <c r="BD214" s="505"/>
    </row>
    <row r="215" spans="1:56" ht="9.9499999999999993" customHeight="1">
      <c r="A215" s="505"/>
      <c r="B215" s="505"/>
      <c r="C215" s="505"/>
      <c r="D215" s="505"/>
      <c r="E215" s="505"/>
      <c r="F215" s="505"/>
      <c r="G215" s="505"/>
      <c r="H215" s="505"/>
      <c r="I215" s="505"/>
      <c r="J215" s="505"/>
      <c r="K215" s="505"/>
      <c r="L215" s="505"/>
      <c r="M215" s="505"/>
      <c r="N215" s="505"/>
      <c r="O215" s="505"/>
      <c r="P215" s="505"/>
      <c r="Q215" s="505"/>
      <c r="R215" s="505"/>
      <c r="S215" s="505"/>
      <c r="T215" s="505"/>
      <c r="U215" s="505"/>
      <c r="V215" s="505"/>
      <c r="W215" s="505"/>
      <c r="X215" s="505"/>
      <c r="Y215" s="505"/>
      <c r="Z215" s="505"/>
      <c r="AA215" s="505"/>
      <c r="AB215" s="505"/>
      <c r="AC215" s="505"/>
      <c r="AD215" s="505"/>
      <c r="AE215" s="505"/>
      <c r="AF215" s="505"/>
      <c r="AG215" s="505"/>
      <c r="AH215" s="505"/>
      <c r="AI215" s="505"/>
      <c r="AJ215" s="505"/>
      <c r="AK215" s="505"/>
      <c r="AL215" s="505"/>
      <c r="AM215" s="505"/>
      <c r="AN215" s="505"/>
      <c r="AO215" s="505"/>
      <c r="AP215" s="505"/>
      <c r="AQ215" s="505"/>
      <c r="AR215" s="505"/>
      <c r="AS215" s="505"/>
      <c r="AT215" s="505"/>
      <c r="AU215" s="505"/>
      <c r="AV215" s="505"/>
      <c r="AW215" s="505"/>
      <c r="AX215" s="505"/>
      <c r="AY215" s="505"/>
      <c r="AZ215" s="505"/>
      <c r="BA215" s="505"/>
      <c r="BB215" s="505"/>
      <c r="BC215" s="505"/>
      <c r="BD215" s="505"/>
    </row>
    <row r="216" spans="1:56" ht="9.9499999999999993" customHeight="1">
      <c r="A216" s="505"/>
      <c r="B216" s="505"/>
      <c r="C216" s="505"/>
      <c r="D216" s="505"/>
      <c r="E216" s="505"/>
      <c r="F216" s="505"/>
      <c r="G216" s="505"/>
      <c r="H216" s="505"/>
      <c r="I216" s="505"/>
      <c r="J216" s="505"/>
      <c r="K216" s="505"/>
      <c r="L216" s="505"/>
      <c r="M216" s="505"/>
      <c r="N216" s="505"/>
      <c r="O216" s="505"/>
      <c r="P216" s="505"/>
      <c r="Q216" s="505"/>
      <c r="R216" s="505"/>
      <c r="S216" s="505"/>
      <c r="T216" s="505"/>
      <c r="U216" s="505"/>
      <c r="V216" s="505"/>
      <c r="W216" s="505"/>
      <c r="X216" s="505"/>
      <c r="Y216" s="505"/>
      <c r="Z216" s="505"/>
      <c r="AA216" s="505"/>
      <c r="AB216" s="505"/>
      <c r="AC216" s="505"/>
      <c r="AD216" s="505"/>
      <c r="AE216" s="505"/>
      <c r="AF216" s="505"/>
      <c r="AG216" s="505"/>
      <c r="AH216" s="505"/>
      <c r="AI216" s="505"/>
      <c r="AJ216" s="505"/>
      <c r="AK216" s="505"/>
      <c r="AL216" s="505"/>
      <c r="AM216" s="505"/>
      <c r="AN216" s="505"/>
      <c r="AO216" s="505"/>
      <c r="AP216" s="505"/>
      <c r="AQ216" s="505"/>
      <c r="AR216" s="505"/>
      <c r="AS216" s="505"/>
      <c r="AT216" s="505"/>
      <c r="AU216" s="505"/>
      <c r="AV216" s="505"/>
      <c r="AW216" s="505"/>
      <c r="AX216" s="505"/>
      <c r="AY216" s="505"/>
      <c r="AZ216" s="505"/>
      <c r="BA216" s="505"/>
      <c r="BB216" s="505"/>
      <c r="BC216" s="505"/>
      <c r="BD216" s="505"/>
    </row>
    <row r="217" spans="1:56" ht="9.9499999999999993" customHeight="1">
      <c r="A217" s="505"/>
      <c r="B217" s="505"/>
      <c r="C217" s="505"/>
      <c r="D217" s="505"/>
      <c r="E217" s="505"/>
      <c r="F217" s="505"/>
      <c r="G217" s="505"/>
      <c r="H217" s="505"/>
      <c r="I217" s="505"/>
      <c r="J217" s="505"/>
      <c r="K217" s="505"/>
      <c r="L217" s="505"/>
      <c r="M217" s="505"/>
      <c r="N217" s="505"/>
      <c r="O217" s="505"/>
      <c r="P217" s="505"/>
      <c r="Q217" s="505"/>
      <c r="R217" s="505"/>
      <c r="S217" s="505"/>
      <c r="T217" s="505"/>
      <c r="U217" s="505"/>
      <c r="V217" s="505"/>
      <c r="W217" s="505"/>
      <c r="X217" s="505"/>
      <c r="Y217" s="505"/>
      <c r="Z217" s="505"/>
      <c r="AA217" s="505"/>
      <c r="AB217" s="505"/>
      <c r="AC217" s="505"/>
      <c r="AD217" s="505"/>
      <c r="AE217" s="505"/>
      <c r="AF217" s="505"/>
      <c r="AG217" s="505"/>
      <c r="AH217" s="505"/>
      <c r="AI217" s="505"/>
      <c r="AJ217" s="505"/>
      <c r="AK217" s="505"/>
      <c r="AL217" s="505"/>
      <c r="AM217" s="505"/>
      <c r="AN217" s="505"/>
      <c r="AO217" s="505"/>
      <c r="AP217" s="505"/>
      <c r="AQ217" s="505"/>
      <c r="AR217" s="505"/>
      <c r="AS217" s="505"/>
      <c r="AT217" s="505"/>
      <c r="AU217" s="505"/>
      <c r="AV217" s="505"/>
      <c r="AW217" s="505"/>
      <c r="AX217" s="505"/>
      <c r="AY217" s="505"/>
      <c r="AZ217" s="505"/>
      <c r="BA217" s="505"/>
      <c r="BB217" s="505"/>
      <c r="BC217" s="505"/>
      <c r="BD217" s="505"/>
    </row>
    <row r="218" spans="1:56" ht="9.9499999999999993" customHeight="1">
      <c r="A218" s="505"/>
      <c r="B218" s="505"/>
      <c r="C218" s="505"/>
      <c r="D218" s="505"/>
      <c r="E218" s="505"/>
      <c r="F218" s="505"/>
      <c r="G218" s="505"/>
      <c r="H218" s="505"/>
      <c r="I218" s="505"/>
      <c r="J218" s="505"/>
      <c r="K218" s="505"/>
      <c r="L218" s="505"/>
      <c r="M218" s="505"/>
      <c r="N218" s="505"/>
      <c r="O218" s="505"/>
      <c r="P218" s="505"/>
      <c r="Q218" s="505"/>
      <c r="R218" s="505"/>
      <c r="S218" s="505"/>
      <c r="T218" s="505"/>
      <c r="U218" s="505"/>
      <c r="V218" s="505"/>
      <c r="W218" s="505"/>
      <c r="X218" s="505"/>
      <c r="Y218" s="505"/>
      <c r="Z218" s="505"/>
      <c r="AA218" s="505"/>
      <c r="AB218" s="505"/>
      <c r="AC218" s="505"/>
      <c r="AD218" s="505"/>
      <c r="AE218" s="505"/>
      <c r="AF218" s="505"/>
      <c r="AG218" s="505"/>
      <c r="AH218" s="505"/>
      <c r="AI218" s="505"/>
      <c r="AJ218" s="505"/>
      <c r="AK218" s="505"/>
      <c r="AL218" s="505"/>
      <c r="AM218" s="505"/>
      <c r="AN218" s="505"/>
      <c r="AO218" s="505"/>
      <c r="AP218" s="505"/>
      <c r="AQ218" s="505"/>
      <c r="AR218" s="505"/>
      <c r="AS218" s="505"/>
      <c r="AT218" s="505"/>
      <c r="AU218" s="505"/>
      <c r="AV218" s="505"/>
      <c r="AW218" s="505"/>
      <c r="AX218" s="505"/>
      <c r="AY218" s="505"/>
      <c r="AZ218" s="505"/>
      <c r="BA218" s="505"/>
      <c r="BB218" s="505"/>
      <c r="BC218" s="505"/>
      <c r="BD218" s="505"/>
    </row>
    <row r="219" spans="1:56" ht="9.9499999999999993" customHeight="1">
      <c r="A219" s="505"/>
      <c r="B219" s="505"/>
      <c r="C219" s="505"/>
      <c r="D219" s="505"/>
      <c r="E219" s="505"/>
      <c r="F219" s="505"/>
      <c r="G219" s="505"/>
      <c r="H219" s="505"/>
      <c r="I219" s="505"/>
      <c r="J219" s="505"/>
      <c r="K219" s="505"/>
      <c r="L219" s="505"/>
      <c r="M219" s="505"/>
      <c r="N219" s="505"/>
      <c r="O219" s="505"/>
      <c r="P219" s="505"/>
      <c r="Q219" s="505"/>
      <c r="R219" s="505"/>
      <c r="S219" s="505"/>
      <c r="T219" s="505"/>
      <c r="U219" s="505"/>
      <c r="V219" s="505"/>
      <c r="W219" s="505"/>
      <c r="X219" s="505"/>
      <c r="Y219" s="505"/>
      <c r="Z219" s="505"/>
      <c r="AA219" s="505"/>
      <c r="AB219" s="505"/>
      <c r="AC219" s="505"/>
      <c r="AD219" s="505"/>
      <c r="AE219" s="505"/>
      <c r="AF219" s="505"/>
      <c r="AG219" s="505"/>
      <c r="AH219" s="505"/>
      <c r="AI219" s="505"/>
      <c r="AJ219" s="505"/>
      <c r="AK219" s="505"/>
      <c r="AL219" s="505"/>
      <c r="AM219" s="505"/>
      <c r="AN219" s="505"/>
      <c r="AO219" s="505"/>
      <c r="AP219" s="505"/>
      <c r="AQ219" s="505"/>
      <c r="AR219" s="505"/>
      <c r="AS219" s="505"/>
      <c r="AT219" s="505"/>
      <c r="AU219" s="505"/>
      <c r="AV219" s="505"/>
      <c r="AW219" s="505"/>
      <c r="AX219" s="505"/>
      <c r="AY219" s="505"/>
      <c r="AZ219" s="505"/>
      <c r="BA219" s="505"/>
      <c r="BB219" s="505"/>
      <c r="BC219" s="505"/>
      <c r="BD219" s="505"/>
    </row>
    <row r="220" spans="1:56" ht="9.9499999999999993" customHeight="1">
      <c r="A220" s="505"/>
      <c r="B220" s="505"/>
      <c r="C220" s="505"/>
      <c r="D220" s="505"/>
      <c r="E220" s="505"/>
      <c r="F220" s="505"/>
      <c r="G220" s="505"/>
      <c r="H220" s="505"/>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row>
    <row r="221" spans="1:56" ht="9.9499999999999993" customHeight="1">
      <c r="A221" s="505"/>
      <c r="B221" s="505"/>
      <c r="C221" s="505"/>
      <c r="D221" s="505"/>
      <c r="E221" s="505"/>
      <c r="F221" s="505"/>
      <c r="G221" s="505"/>
      <c r="H221" s="505"/>
      <c r="I221" s="505"/>
      <c r="J221" s="505"/>
      <c r="K221" s="505"/>
      <c r="L221" s="505"/>
      <c r="M221" s="505"/>
      <c r="N221" s="505"/>
      <c r="O221" s="505"/>
      <c r="P221" s="505"/>
      <c r="Q221" s="505"/>
      <c r="R221" s="505"/>
      <c r="S221" s="505"/>
      <c r="T221" s="505"/>
      <c r="U221" s="505"/>
      <c r="V221" s="505"/>
      <c r="W221" s="505"/>
      <c r="X221" s="505"/>
      <c r="Y221" s="505"/>
      <c r="Z221" s="505"/>
      <c r="AA221" s="505"/>
      <c r="AB221" s="505"/>
      <c r="AC221" s="505"/>
      <c r="AD221" s="505"/>
      <c r="AE221" s="505"/>
      <c r="AF221" s="505"/>
      <c r="AG221" s="505"/>
      <c r="AH221" s="505"/>
      <c r="AI221" s="505"/>
      <c r="AJ221" s="505"/>
      <c r="AK221" s="505"/>
      <c r="AL221" s="505"/>
      <c r="AM221" s="505"/>
      <c r="AN221" s="505"/>
      <c r="AO221" s="505"/>
      <c r="AP221" s="505"/>
      <c r="AQ221" s="505"/>
      <c r="AR221" s="505"/>
      <c r="AS221" s="505"/>
      <c r="AT221" s="505"/>
      <c r="AU221" s="505"/>
      <c r="AV221" s="505"/>
      <c r="AW221" s="505"/>
      <c r="AX221" s="505"/>
      <c r="AY221" s="505"/>
      <c r="AZ221" s="505"/>
      <c r="BA221" s="505"/>
      <c r="BB221" s="505"/>
      <c r="BC221" s="505"/>
      <c r="BD221" s="505"/>
    </row>
    <row r="222" spans="1:56" ht="9.9499999999999993" customHeight="1">
      <c r="A222" s="505"/>
      <c r="B222" s="505"/>
      <c r="C222" s="505"/>
      <c r="D222" s="505"/>
      <c r="E222" s="505"/>
      <c r="F222" s="505"/>
      <c r="G222" s="505"/>
      <c r="H222" s="505"/>
      <c r="I222" s="505"/>
      <c r="J222" s="505"/>
      <c r="K222" s="505"/>
      <c r="L222" s="505"/>
      <c r="M222" s="505"/>
      <c r="N222" s="505"/>
      <c r="O222" s="505"/>
      <c r="P222" s="505"/>
      <c r="Q222" s="505"/>
      <c r="R222" s="505"/>
      <c r="S222" s="505"/>
      <c r="T222" s="505"/>
      <c r="U222" s="505"/>
      <c r="V222" s="505"/>
      <c r="W222" s="505"/>
      <c r="X222" s="505"/>
      <c r="Y222" s="505"/>
      <c r="Z222" s="505"/>
      <c r="AA222" s="505"/>
      <c r="AB222" s="505"/>
      <c r="AC222" s="505"/>
      <c r="AD222" s="505"/>
      <c r="AE222" s="505"/>
      <c r="AF222" s="505"/>
      <c r="AG222" s="505"/>
      <c r="AH222" s="505"/>
      <c r="AI222" s="505"/>
      <c r="AJ222" s="505"/>
      <c r="AK222" s="505"/>
      <c r="AL222" s="505"/>
      <c r="AM222" s="505"/>
      <c r="AN222" s="505"/>
      <c r="AO222" s="505"/>
      <c r="AP222" s="505"/>
      <c r="AQ222" s="505"/>
      <c r="AR222" s="505"/>
      <c r="AS222" s="505"/>
      <c r="AT222" s="505"/>
      <c r="AU222" s="505"/>
      <c r="AV222" s="505"/>
      <c r="AW222" s="505"/>
      <c r="AX222" s="505"/>
      <c r="AY222" s="505"/>
      <c r="AZ222" s="505"/>
      <c r="BA222" s="505"/>
      <c r="BB222" s="505"/>
      <c r="BC222" s="505"/>
      <c r="BD222" s="505"/>
    </row>
    <row r="223" spans="1:56" ht="9.9499999999999993" customHeight="1">
      <c r="A223" s="505"/>
      <c r="B223" s="505"/>
      <c r="C223" s="505"/>
      <c r="D223" s="505"/>
      <c r="E223" s="505"/>
      <c r="F223" s="505"/>
      <c r="G223" s="505"/>
      <c r="H223" s="505"/>
      <c r="I223" s="505"/>
      <c r="J223" s="505"/>
      <c r="K223" s="505"/>
      <c r="L223" s="505"/>
      <c r="M223" s="505"/>
      <c r="N223" s="505"/>
      <c r="O223" s="505"/>
      <c r="P223" s="505"/>
      <c r="Q223" s="505"/>
      <c r="R223" s="505"/>
      <c r="S223" s="505"/>
      <c r="T223" s="505"/>
      <c r="U223" s="505"/>
      <c r="V223" s="505"/>
      <c r="W223" s="505"/>
      <c r="X223" s="505"/>
      <c r="Y223" s="505"/>
      <c r="Z223" s="505"/>
      <c r="AA223" s="505"/>
      <c r="AB223" s="505"/>
      <c r="AC223" s="505"/>
      <c r="AD223" s="505"/>
      <c r="AE223" s="505"/>
      <c r="AF223" s="505"/>
      <c r="AG223" s="505"/>
      <c r="AH223" s="505"/>
      <c r="AI223" s="505"/>
      <c r="AJ223" s="505"/>
      <c r="AK223" s="505"/>
      <c r="AL223" s="505"/>
      <c r="AM223" s="505"/>
      <c r="AN223" s="505"/>
      <c r="AO223" s="505"/>
      <c r="AP223" s="505"/>
      <c r="AQ223" s="505"/>
      <c r="AR223" s="505"/>
      <c r="AS223" s="505"/>
      <c r="AT223" s="505"/>
      <c r="AU223" s="505"/>
      <c r="AV223" s="505"/>
      <c r="AW223" s="505"/>
      <c r="AX223" s="505"/>
      <c r="AY223" s="505"/>
      <c r="AZ223" s="505"/>
      <c r="BA223" s="505"/>
      <c r="BB223" s="505"/>
      <c r="BC223" s="505"/>
      <c r="BD223" s="505"/>
    </row>
    <row r="224" spans="1:56" ht="9.9499999999999993" customHeight="1">
      <c r="A224" s="505"/>
      <c r="B224" s="505"/>
      <c r="C224" s="505"/>
      <c r="D224" s="505"/>
      <c r="E224" s="505"/>
      <c r="F224" s="505"/>
      <c r="G224" s="505"/>
      <c r="H224" s="505"/>
      <c r="I224" s="505"/>
      <c r="J224" s="505"/>
      <c r="K224" s="505"/>
      <c r="L224" s="505"/>
      <c r="M224" s="505"/>
      <c r="N224" s="505"/>
      <c r="O224" s="505"/>
      <c r="P224" s="505"/>
      <c r="Q224" s="505"/>
      <c r="R224" s="505"/>
      <c r="S224" s="505"/>
      <c r="T224" s="505"/>
      <c r="U224" s="505"/>
      <c r="V224" s="505"/>
      <c r="W224" s="505"/>
      <c r="X224" s="505"/>
      <c r="Y224" s="505"/>
      <c r="Z224" s="505"/>
      <c r="AA224" s="505"/>
      <c r="AB224" s="505"/>
      <c r="AC224" s="505"/>
      <c r="AD224" s="505"/>
      <c r="AE224" s="505"/>
      <c r="AF224" s="505"/>
      <c r="AG224" s="505"/>
      <c r="AH224" s="505"/>
      <c r="AI224" s="505"/>
      <c r="AJ224" s="505"/>
      <c r="AK224" s="505"/>
      <c r="AL224" s="505"/>
      <c r="AM224" s="505"/>
      <c r="AN224" s="505"/>
      <c r="AO224" s="505"/>
      <c r="AP224" s="505"/>
      <c r="AQ224" s="505"/>
      <c r="AR224" s="505"/>
      <c r="AS224" s="505"/>
      <c r="AT224" s="505"/>
      <c r="AU224" s="505"/>
      <c r="AV224" s="505"/>
      <c r="AW224" s="505"/>
      <c r="AX224" s="505"/>
      <c r="AY224" s="505"/>
      <c r="AZ224" s="505"/>
      <c r="BA224" s="505"/>
      <c r="BB224" s="505"/>
      <c r="BC224" s="505"/>
      <c r="BD224" s="505"/>
    </row>
    <row r="225" spans="1:56" ht="9.9499999999999993" customHeight="1">
      <c r="A225" s="505"/>
      <c r="B225" s="505"/>
      <c r="C225" s="505"/>
      <c r="D225" s="505"/>
      <c r="E225" s="505"/>
      <c r="F225" s="505"/>
      <c r="G225" s="505"/>
      <c r="H225" s="505"/>
      <c r="I225" s="505"/>
      <c r="J225" s="505"/>
      <c r="K225" s="505"/>
      <c r="L225" s="505"/>
      <c r="M225" s="505"/>
      <c r="N225" s="505"/>
      <c r="O225" s="505"/>
      <c r="P225" s="505"/>
      <c r="Q225" s="505"/>
      <c r="R225" s="505"/>
      <c r="S225" s="505"/>
      <c r="T225" s="505"/>
      <c r="U225" s="505"/>
      <c r="V225" s="505"/>
      <c r="W225" s="505"/>
      <c r="X225" s="505"/>
      <c r="Y225" s="505"/>
      <c r="Z225" s="505"/>
      <c r="AA225" s="505"/>
      <c r="AB225" s="505"/>
      <c r="AC225" s="505"/>
      <c r="AD225" s="505"/>
      <c r="AE225" s="505"/>
      <c r="AF225" s="505"/>
      <c r="AG225" s="505"/>
      <c r="AH225" s="505"/>
      <c r="AI225" s="505"/>
      <c r="AJ225" s="505"/>
      <c r="AK225" s="505"/>
      <c r="AL225" s="505"/>
      <c r="AM225" s="505"/>
      <c r="AN225" s="505"/>
      <c r="AO225" s="505"/>
      <c r="AP225" s="505"/>
      <c r="AQ225" s="505"/>
      <c r="AR225" s="505"/>
      <c r="AS225" s="505"/>
      <c r="AT225" s="505"/>
      <c r="AU225" s="505"/>
      <c r="AV225" s="505"/>
      <c r="AW225" s="505"/>
      <c r="AX225" s="505"/>
      <c r="AY225" s="505"/>
      <c r="AZ225" s="505"/>
      <c r="BA225" s="505"/>
      <c r="BB225" s="505"/>
      <c r="BC225" s="505"/>
      <c r="BD225" s="505"/>
    </row>
    <row r="226" spans="1:56" ht="9.9499999999999993" customHeight="1">
      <c r="A226" s="505"/>
      <c r="B226" s="505"/>
      <c r="C226" s="505"/>
      <c r="D226" s="505"/>
      <c r="E226" s="505"/>
      <c r="F226" s="505"/>
      <c r="G226" s="505"/>
      <c r="H226" s="505"/>
      <c r="I226" s="505"/>
      <c r="J226" s="505"/>
      <c r="K226" s="505"/>
      <c r="L226" s="505"/>
      <c r="M226" s="505"/>
      <c r="N226" s="505"/>
      <c r="O226" s="505"/>
      <c r="P226" s="505"/>
      <c r="Q226" s="505"/>
      <c r="R226" s="505"/>
      <c r="S226" s="505"/>
      <c r="T226" s="505"/>
      <c r="U226" s="505"/>
      <c r="V226" s="505"/>
      <c r="W226" s="505"/>
      <c r="X226" s="505"/>
      <c r="Y226" s="505"/>
      <c r="Z226" s="505"/>
      <c r="AA226" s="505"/>
      <c r="AB226" s="505"/>
      <c r="AC226" s="505"/>
      <c r="AD226" s="505"/>
      <c r="AE226" s="505"/>
      <c r="AF226" s="505"/>
      <c r="AG226" s="505"/>
      <c r="AH226" s="505"/>
      <c r="AI226" s="505"/>
      <c r="AJ226" s="505"/>
      <c r="AK226" s="505"/>
      <c r="AL226" s="505"/>
      <c r="AM226" s="505"/>
      <c r="AN226" s="505"/>
      <c r="AO226" s="505"/>
      <c r="AP226" s="505"/>
      <c r="AQ226" s="505"/>
      <c r="AR226" s="505"/>
      <c r="AS226" s="505"/>
      <c r="AT226" s="505"/>
      <c r="AU226" s="505"/>
      <c r="AV226" s="505"/>
      <c r="AW226" s="505"/>
      <c r="AX226" s="505"/>
      <c r="AY226" s="505"/>
      <c r="AZ226" s="505"/>
      <c r="BA226" s="505"/>
      <c r="BB226" s="505"/>
      <c r="BC226" s="505"/>
      <c r="BD226" s="505"/>
    </row>
    <row r="227" spans="1:56" ht="9.9499999999999993" customHeight="1">
      <c r="A227" s="505"/>
      <c r="B227" s="505"/>
      <c r="C227" s="505"/>
      <c r="D227" s="505"/>
      <c r="E227" s="505"/>
      <c r="F227" s="505"/>
      <c r="G227" s="505"/>
      <c r="H227" s="505"/>
      <c r="I227" s="505"/>
      <c r="J227" s="505"/>
      <c r="K227" s="505"/>
      <c r="L227" s="505"/>
      <c r="M227" s="505"/>
      <c r="N227" s="505"/>
      <c r="O227" s="505"/>
      <c r="P227" s="505"/>
      <c r="Q227" s="505"/>
      <c r="R227" s="505"/>
      <c r="S227" s="505"/>
      <c r="T227" s="505"/>
      <c r="U227" s="505"/>
      <c r="V227" s="505"/>
      <c r="W227" s="505"/>
      <c r="X227" s="505"/>
      <c r="Y227" s="505"/>
      <c r="Z227" s="505"/>
      <c r="AA227" s="505"/>
      <c r="AB227" s="505"/>
      <c r="AC227" s="505"/>
      <c r="AD227" s="505"/>
      <c r="AE227" s="505"/>
      <c r="AF227" s="505"/>
      <c r="AG227" s="505"/>
      <c r="AH227" s="505"/>
      <c r="AI227" s="505"/>
      <c r="AJ227" s="505"/>
      <c r="AK227" s="505"/>
      <c r="AL227" s="505"/>
      <c r="AM227" s="505"/>
      <c r="AN227" s="505"/>
      <c r="AO227" s="505"/>
      <c r="AP227" s="505"/>
      <c r="AQ227" s="505"/>
      <c r="AR227" s="505"/>
      <c r="AS227" s="505"/>
      <c r="AT227" s="505"/>
      <c r="AU227" s="505"/>
      <c r="AV227" s="505"/>
      <c r="AW227" s="505"/>
      <c r="AX227" s="505"/>
      <c r="AY227" s="505"/>
      <c r="AZ227" s="505"/>
      <c r="BA227" s="505"/>
      <c r="BB227" s="505"/>
      <c r="BC227" s="505"/>
      <c r="BD227" s="505"/>
    </row>
    <row r="228" spans="1:56" ht="9.9499999999999993" customHeight="1">
      <c r="A228" s="505"/>
      <c r="B228" s="505"/>
      <c r="C228" s="505"/>
      <c r="D228" s="505"/>
      <c r="E228" s="505"/>
      <c r="F228" s="505"/>
      <c r="G228" s="505"/>
      <c r="H228" s="505"/>
      <c r="I228" s="505"/>
      <c r="J228" s="505"/>
      <c r="K228" s="505"/>
      <c r="L228" s="505"/>
      <c r="M228" s="505"/>
      <c r="N228" s="505"/>
      <c r="O228" s="505"/>
      <c r="P228" s="505"/>
      <c r="Q228" s="505"/>
      <c r="R228" s="505"/>
      <c r="S228" s="505"/>
      <c r="T228" s="505"/>
      <c r="U228" s="505"/>
      <c r="V228" s="505"/>
      <c r="W228" s="505"/>
      <c r="X228" s="505"/>
      <c r="Y228" s="505"/>
      <c r="Z228" s="505"/>
      <c r="AA228" s="505"/>
      <c r="AB228" s="505"/>
      <c r="AC228" s="505"/>
      <c r="AD228" s="505"/>
      <c r="AE228" s="505"/>
      <c r="AF228" s="505"/>
      <c r="AG228" s="505"/>
      <c r="AH228" s="505"/>
      <c r="AI228" s="505"/>
      <c r="AJ228" s="505"/>
      <c r="AK228" s="505"/>
      <c r="AL228" s="505"/>
      <c r="AM228" s="505"/>
      <c r="AN228" s="505"/>
      <c r="AO228" s="505"/>
      <c r="AP228" s="505"/>
      <c r="AQ228" s="505"/>
      <c r="AR228" s="505"/>
      <c r="AS228" s="505"/>
      <c r="AT228" s="505"/>
      <c r="AU228" s="505"/>
      <c r="AV228" s="505"/>
      <c r="AW228" s="505"/>
      <c r="AX228" s="505"/>
      <c r="AY228" s="505"/>
      <c r="AZ228" s="505"/>
      <c r="BA228" s="505"/>
      <c r="BB228" s="505"/>
      <c r="BC228" s="505"/>
      <c r="BD228" s="505"/>
    </row>
    <row r="229" spans="1:56" ht="9.9499999999999993" customHeight="1">
      <c r="A229" s="505"/>
      <c r="B229" s="505"/>
      <c r="C229" s="505"/>
      <c r="D229" s="505"/>
      <c r="E229" s="505"/>
      <c r="F229" s="505"/>
      <c r="G229" s="505"/>
      <c r="H229" s="505"/>
      <c r="I229" s="505"/>
      <c r="J229" s="505"/>
      <c r="K229" s="505"/>
      <c r="L229" s="505"/>
      <c r="M229" s="505"/>
      <c r="N229" s="505"/>
      <c r="O229" s="505"/>
      <c r="P229" s="505"/>
      <c r="Q229" s="505"/>
      <c r="R229" s="505"/>
      <c r="S229" s="505"/>
      <c r="T229" s="505"/>
      <c r="U229" s="505"/>
      <c r="V229" s="505"/>
      <c r="W229" s="505"/>
      <c r="X229" s="505"/>
      <c r="Y229" s="505"/>
      <c r="Z229" s="505"/>
      <c r="AA229" s="505"/>
      <c r="AB229" s="505"/>
      <c r="AC229" s="505"/>
      <c r="AD229" s="505"/>
      <c r="AE229" s="505"/>
      <c r="AF229" s="505"/>
      <c r="AG229" s="505"/>
      <c r="AH229" s="505"/>
      <c r="AI229" s="505"/>
      <c r="AJ229" s="505"/>
      <c r="AK229" s="505"/>
      <c r="AL229" s="505"/>
      <c r="AM229" s="505"/>
      <c r="AN229" s="505"/>
      <c r="AO229" s="505"/>
      <c r="AP229" s="505"/>
      <c r="AQ229" s="505"/>
      <c r="AR229" s="505"/>
      <c r="AS229" s="505"/>
      <c r="AT229" s="505"/>
      <c r="AU229" s="505"/>
      <c r="AV229" s="505"/>
      <c r="AW229" s="505"/>
      <c r="AX229" s="505"/>
      <c r="AY229" s="505"/>
      <c r="AZ229" s="505"/>
      <c r="BA229" s="505"/>
      <c r="BB229" s="505"/>
      <c r="BC229" s="505"/>
      <c r="BD229" s="505"/>
    </row>
    <row r="230" spans="1:56" ht="9.9499999999999993" customHeight="1">
      <c r="A230" s="505"/>
      <c r="B230" s="505"/>
      <c r="C230" s="505"/>
      <c r="D230" s="505"/>
      <c r="E230" s="505"/>
      <c r="F230" s="505"/>
      <c r="G230" s="505"/>
      <c r="H230" s="505"/>
      <c r="I230" s="505"/>
      <c r="J230" s="505"/>
      <c r="K230" s="505"/>
      <c r="L230" s="505"/>
      <c r="M230" s="505"/>
      <c r="N230" s="505"/>
      <c r="O230" s="505"/>
      <c r="P230" s="505"/>
      <c r="Q230" s="505"/>
      <c r="R230" s="505"/>
      <c r="S230" s="505"/>
      <c r="T230" s="505"/>
      <c r="U230" s="505"/>
      <c r="V230" s="505"/>
      <c r="W230" s="505"/>
      <c r="X230" s="505"/>
      <c r="Y230" s="505"/>
      <c r="Z230" s="505"/>
      <c r="AA230" s="505"/>
      <c r="AB230" s="505"/>
      <c r="AC230" s="505"/>
      <c r="AD230" s="505"/>
      <c r="AE230" s="505"/>
      <c r="AF230" s="505"/>
      <c r="AG230" s="505"/>
      <c r="AH230" s="505"/>
      <c r="AI230" s="505"/>
      <c r="AJ230" s="505"/>
      <c r="AK230" s="505"/>
      <c r="AL230" s="505"/>
      <c r="AM230" s="505"/>
      <c r="AN230" s="505"/>
      <c r="AO230" s="505"/>
      <c r="AP230" s="505"/>
      <c r="AQ230" s="505"/>
      <c r="AR230" s="505"/>
      <c r="AS230" s="505"/>
      <c r="AT230" s="505"/>
      <c r="AU230" s="505"/>
      <c r="AV230" s="505"/>
      <c r="AW230" s="505"/>
      <c r="AX230" s="505"/>
      <c r="AY230" s="505"/>
      <c r="AZ230" s="505"/>
      <c r="BA230" s="505"/>
      <c r="BB230" s="505"/>
      <c r="BC230" s="505"/>
      <c r="BD230" s="505"/>
    </row>
    <row r="231" spans="1:56" ht="9.9499999999999993" customHeight="1">
      <c r="A231" s="505"/>
      <c r="B231" s="505"/>
      <c r="C231" s="505"/>
      <c r="D231" s="505"/>
      <c r="E231" s="505"/>
      <c r="F231" s="505"/>
      <c r="G231" s="505"/>
      <c r="H231" s="505"/>
      <c r="I231" s="505"/>
      <c r="J231" s="505"/>
      <c r="K231" s="505"/>
      <c r="L231" s="505"/>
      <c r="M231" s="505"/>
      <c r="N231" s="505"/>
      <c r="O231" s="505"/>
      <c r="P231" s="505"/>
      <c r="Q231" s="505"/>
      <c r="R231" s="505"/>
      <c r="S231" s="505"/>
      <c r="T231" s="505"/>
      <c r="U231" s="505"/>
      <c r="V231" s="505"/>
      <c r="W231" s="505"/>
      <c r="X231" s="505"/>
      <c r="Y231" s="505"/>
      <c r="Z231" s="505"/>
      <c r="AA231" s="505"/>
      <c r="AB231" s="505"/>
      <c r="AC231" s="505"/>
      <c r="AD231" s="505"/>
      <c r="AE231" s="505"/>
      <c r="AF231" s="505"/>
      <c r="AG231" s="505"/>
      <c r="AH231" s="505"/>
      <c r="AI231" s="505"/>
      <c r="AJ231" s="505"/>
      <c r="AK231" s="505"/>
      <c r="AL231" s="505"/>
      <c r="AM231" s="505"/>
      <c r="AN231" s="505"/>
      <c r="AO231" s="505"/>
      <c r="AP231" s="505"/>
      <c r="AQ231" s="505"/>
      <c r="AR231" s="505"/>
      <c r="AS231" s="505"/>
      <c r="AT231" s="505"/>
      <c r="AU231" s="505"/>
      <c r="AV231" s="505"/>
      <c r="AW231" s="505"/>
      <c r="AX231" s="505"/>
      <c r="AY231" s="505"/>
      <c r="AZ231" s="505"/>
      <c r="BA231" s="505"/>
      <c r="BB231" s="505"/>
      <c r="BC231" s="505"/>
      <c r="BD231" s="505"/>
    </row>
    <row r="232" spans="1:56" ht="9.9499999999999993" customHeight="1">
      <c r="A232" s="505"/>
      <c r="B232" s="505"/>
      <c r="C232" s="505"/>
      <c r="D232" s="505"/>
      <c r="E232" s="505"/>
      <c r="F232" s="505"/>
      <c r="G232" s="505"/>
      <c r="H232" s="505"/>
      <c r="I232" s="505"/>
      <c r="J232" s="505"/>
      <c r="K232" s="505"/>
      <c r="L232" s="505"/>
      <c r="M232" s="505"/>
      <c r="N232" s="505"/>
      <c r="O232" s="505"/>
      <c r="P232" s="505"/>
      <c r="Q232" s="505"/>
      <c r="R232" s="505"/>
      <c r="S232" s="505"/>
      <c r="T232" s="505"/>
      <c r="U232" s="505"/>
      <c r="V232" s="505"/>
      <c r="W232" s="505"/>
      <c r="X232" s="505"/>
      <c r="Y232" s="505"/>
      <c r="Z232" s="505"/>
      <c r="AA232" s="505"/>
      <c r="AB232" s="505"/>
      <c r="AC232" s="505"/>
      <c r="AD232" s="505"/>
      <c r="AE232" s="505"/>
      <c r="AF232" s="505"/>
      <c r="AG232" s="505"/>
      <c r="AH232" s="505"/>
      <c r="AI232" s="505"/>
      <c r="AJ232" s="505"/>
      <c r="AK232" s="505"/>
      <c r="AL232" s="505"/>
      <c r="AM232" s="505"/>
      <c r="AN232" s="505"/>
      <c r="AO232" s="505"/>
      <c r="AP232" s="505"/>
      <c r="AQ232" s="505"/>
      <c r="AR232" s="505"/>
      <c r="AS232" s="505"/>
      <c r="AT232" s="505"/>
      <c r="AU232" s="505"/>
      <c r="AV232" s="505"/>
      <c r="AW232" s="505"/>
      <c r="AX232" s="505"/>
      <c r="AY232" s="505"/>
      <c r="AZ232" s="505"/>
      <c r="BA232" s="505"/>
      <c r="BB232" s="505"/>
      <c r="BC232" s="505"/>
      <c r="BD232" s="505"/>
    </row>
    <row r="233" spans="1:56" ht="9.9499999999999993" customHeight="1">
      <c r="A233" s="505"/>
      <c r="B233" s="505"/>
      <c r="C233" s="505"/>
      <c r="D233" s="505"/>
      <c r="E233" s="505"/>
      <c r="F233" s="505"/>
      <c r="G233" s="505"/>
      <c r="H233" s="505"/>
      <c r="I233" s="505"/>
      <c r="J233" s="505"/>
      <c r="K233" s="505"/>
      <c r="L233" s="505"/>
      <c r="M233" s="505"/>
      <c r="N233" s="505"/>
      <c r="O233" s="505"/>
      <c r="P233" s="505"/>
      <c r="Q233" s="505"/>
      <c r="R233" s="505"/>
      <c r="S233" s="505"/>
      <c r="T233" s="505"/>
      <c r="U233" s="505"/>
      <c r="V233" s="505"/>
      <c r="W233" s="505"/>
      <c r="X233" s="505"/>
      <c r="Y233" s="505"/>
      <c r="Z233" s="505"/>
      <c r="AA233" s="505"/>
      <c r="AB233" s="505"/>
      <c r="AC233" s="505"/>
      <c r="AD233" s="505"/>
      <c r="AE233" s="505"/>
      <c r="AF233" s="505"/>
      <c r="AG233" s="505"/>
      <c r="AH233" s="505"/>
      <c r="AI233" s="505"/>
      <c r="AJ233" s="505"/>
      <c r="AK233" s="505"/>
      <c r="AL233" s="505"/>
      <c r="AM233" s="505"/>
      <c r="AN233" s="505"/>
      <c r="AO233" s="505"/>
      <c r="AP233" s="505"/>
      <c r="AQ233" s="505"/>
      <c r="AR233" s="505"/>
      <c r="AS233" s="505"/>
      <c r="AT233" s="505"/>
      <c r="AU233" s="505"/>
      <c r="AV233" s="505"/>
      <c r="AW233" s="505"/>
      <c r="AX233" s="505"/>
      <c r="AY233" s="505"/>
      <c r="AZ233" s="505"/>
      <c r="BA233" s="505"/>
      <c r="BB233" s="505"/>
      <c r="BC233" s="505"/>
      <c r="BD233" s="505"/>
    </row>
    <row r="234" spans="1:56" ht="9.9499999999999993" customHeight="1">
      <c r="A234" s="505"/>
      <c r="B234" s="505"/>
      <c r="C234" s="505"/>
      <c r="D234" s="505"/>
      <c r="E234" s="505"/>
      <c r="F234" s="505"/>
      <c r="G234" s="505"/>
      <c r="H234" s="505"/>
      <c r="I234" s="505"/>
      <c r="J234" s="505"/>
      <c r="K234" s="505"/>
      <c r="L234" s="505"/>
      <c r="M234" s="505"/>
      <c r="N234" s="505"/>
      <c r="O234" s="505"/>
      <c r="P234" s="505"/>
      <c r="Q234" s="505"/>
      <c r="R234" s="505"/>
      <c r="S234" s="505"/>
      <c r="T234" s="505"/>
      <c r="U234" s="505"/>
      <c r="V234" s="505"/>
      <c r="W234" s="505"/>
      <c r="X234" s="505"/>
      <c r="Y234" s="505"/>
      <c r="Z234" s="505"/>
      <c r="AA234" s="505"/>
      <c r="AB234" s="505"/>
      <c r="AC234" s="505"/>
      <c r="AD234" s="505"/>
      <c r="AE234" s="505"/>
      <c r="AF234" s="505"/>
      <c r="AG234" s="505"/>
      <c r="AH234" s="505"/>
      <c r="AI234" s="505"/>
      <c r="AJ234" s="505"/>
      <c r="AK234" s="505"/>
      <c r="AL234" s="505"/>
      <c r="AM234" s="505"/>
      <c r="AN234" s="505"/>
      <c r="AO234" s="505"/>
      <c r="AP234" s="505"/>
      <c r="AQ234" s="505"/>
      <c r="AR234" s="505"/>
      <c r="AS234" s="505"/>
      <c r="AT234" s="505"/>
      <c r="AU234" s="505"/>
      <c r="AV234" s="505"/>
      <c r="AW234" s="505"/>
      <c r="AX234" s="505"/>
      <c r="AY234" s="505"/>
      <c r="AZ234" s="505"/>
      <c r="BA234" s="505"/>
      <c r="BB234" s="505"/>
      <c r="BC234" s="505"/>
      <c r="BD234" s="505"/>
    </row>
    <row r="235" spans="1:56" ht="9.9499999999999993" customHeight="1">
      <c r="A235" s="505"/>
      <c r="B235" s="505"/>
      <c r="C235" s="505"/>
      <c r="D235" s="505"/>
      <c r="E235" s="505"/>
      <c r="F235" s="505"/>
      <c r="G235" s="505"/>
      <c r="H235" s="505"/>
      <c r="I235" s="505"/>
      <c r="J235" s="505"/>
      <c r="K235" s="505"/>
      <c r="L235" s="505"/>
      <c r="M235" s="505"/>
      <c r="N235" s="505"/>
      <c r="O235" s="505"/>
      <c r="P235" s="505"/>
      <c r="Q235" s="505"/>
      <c r="R235" s="505"/>
      <c r="S235" s="505"/>
      <c r="T235" s="505"/>
      <c r="U235" s="505"/>
      <c r="V235" s="505"/>
      <c r="W235" s="505"/>
      <c r="X235" s="505"/>
      <c r="Y235" s="505"/>
      <c r="Z235" s="505"/>
      <c r="AA235" s="505"/>
      <c r="AB235" s="505"/>
      <c r="AC235" s="505"/>
      <c r="AD235" s="505"/>
      <c r="AE235" s="505"/>
      <c r="AF235" s="505"/>
      <c r="AG235" s="505"/>
      <c r="AH235" s="505"/>
      <c r="AI235" s="505"/>
      <c r="AJ235" s="505"/>
      <c r="AK235" s="505"/>
      <c r="AL235" s="505"/>
      <c r="AM235" s="505"/>
      <c r="AN235" s="505"/>
      <c r="AO235" s="505"/>
      <c r="AP235" s="505"/>
      <c r="AQ235" s="505"/>
      <c r="AR235" s="505"/>
      <c r="AS235" s="505"/>
      <c r="AT235" s="505"/>
      <c r="AU235" s="505"/>
      <c r="AV235" s="505"/>
      <c r="AW235" s="505"/>
      <c r="AX235" s="505"/>
      <c r="AY235" s="505"/>
      <c r="AZ235" s="505"/>
      <c r="BA235" s="505"/>
      <c r="BB235" s="505"/>
      <c r="BC235" s="505"/>
      <c r="BD235" s="505"/>
    </row>
    <row r="236" spans="1:56" ht="9.9499999999999993" customHeight="1">
      <c r="A236" s="505"/>
      <c r="B236" s="505"/>
      <c r="C236" s="505"/>
      <c r="D236" s="505"/>
      <c r="E236" s="505"/>
      <c r="F236" s="505"/>
      <c r="G236" s="505"/>
      <c r="H236" s="505"/>
      <c r="I236" s="505"/>
      <c r="J236" s="505"/>
      <c r="K236" s="505"/>
      <c r="L236" s="505"/>
      <c r="M236" s="505"/>
      <c r="N236" s="505"/>
      <c r="O236" s="505"/>
      <c r="P236" s="505"/>
      <c r="Q236" s="505"/>
      <c r="R236" s="505"/>
      <c r="S236" s="505"/>
      <c r="T236" s="505"/>
      <c r="U236" s="505"/>
      <c r="V236" s="505"/>
      <c r="W236" s="505"/>
      <c r="X236" s="505"/>
      <c r="Y236" s="505"/>
      <c r="Z236" s="505"/>
      <c r="AA236" s="505"/>
      <c r="AB236" s="505"/>
      <c r="AC236" s="505"/>
      <c r="AD236" s="505"/>
      <c r="AE236" s="505"/>
      <c r="AF236" s="505"/>
      <c r="AG236" s="505"/>
      <c r="AH236" s="505"/>
      <c r="AI236" s="505"/>
      <c r="AJ236" s="505"/>
      <c r="AK236" s="505"/>
      <c r="AL236" s="505"/>
      <c r="AM236" s="505"/>
      <c r="AN236" s="505"/>
      <c r="AO236" s="505"/>
      <c r="AP236" s="505"/>
      <c r="AQ236" s="505"/>
      <c r="AR236" s="505"/>
      <c r="AS236" s="505"/>
      <c r="AT236" s="505"/>
      <c r="AU236" s="505"/>
      <c r="AV236" s="505"/>
      <c r="AW236" s="505"/>
      <c r="AX236" s="505"/>
      <c r="AY236" s="505"/>
      <c r="AZ236" s="505"/>
      <c r="BA236" s="505"/>
      <c r="BB236" s="505"/>
      <c r="BC236" s="505"/>
      <c r="BD236" s="505"/>
    </row>
    <row r="237" spans="1:56" ht="9.9499999999999993" customHeight="1">
      <c r="A237" s="505"/>
      <c r="B237" s="505"/>
      <c r="C237" s="505"/>
      <c r="D237" s="505"/>
      <c r="E237" s="505"/>
      <c r="F237" s="505"/>
      <c r="G237" s="505"/>
      <c r="H237" s="505"/>
      <c r="I237" s="505"/>
      <c r="J237" s="505"/>
      <c r="K237" s="505"/>
      <c r="L237" s="505"/>
      <c r="M237" s="505"/>
      <c r="N237" s="505"/>
      <c r="O237" s="505"/>
      <c r="P237" s="505"/>
      <c r="Q237" s="505"/>
      <c r="R237" s="505"/>
      <c r="S237" s="505"/>
      <c r="T237" s="505"/>
      <c r="U237" s="505"/>
      <c r="V237" s="505"/>
      <c r="W237" s="505"/>
      <c r="X237" s="505"/>
      <c r="Y237" s="505"/>
      <c r="Z237" s="505"/>
      <c r="AA237" s="505"/>
      <c r="AB237" s="505"/>
      <c r="AC237" s="505"/>
      <c r="AD237" s="505"/>
      <c r="AE237" s="505"/>
      <c r="AF237" s="505"/>
      <c r="AG237" s="505"/>
      <c r="AH237" s="505"/>
      <c r="AI237" s="505"/>
      <c r="AJ237" s="505"/>
      <c r="AK237" s="505"/>
      <c r="AL237" s="505"/>
      <c r="AM237" s="505"/>
      <c r="AN237" s="505"/>
      <c r="AO237" s="505"/>
      <c r="AP237" s="505"/>
      <c r="AQ237" s="505"/>
      <c r="AR237" s="505"/>
      <c r="AS237" s="505"/>
      <c r="AT237" s="505"/>
      <c r="AU237" s="505"/>
      <c r="AV237" s="505"/>
      <c r="AW237" s="505"/>
      <c r="AX237" s="505"/>
      <c r="AY237" s="505"/>
      <c r="AZ237" s="505"/>
      <c r="BA237" s="505"/>
      <c r="BB237" s="505"/>
      <c r="BC237" s="505"/>
      <c r="BD237" s="505"/>
    </row>
    <row r="238" spans="1:56" ht="9.9499999999999993" customHeight="1">
      <c r="A238" s="505"/>
      <c r="B238" s="505"/>
      <c r="C238" s="505"/>
      <c r="D238" s="505"/>
      <c r="E238" s="505"/>
      <c r="F238" s="505"/>
      <c r="G238" s="505"/>
      <c r="H238" s="505"/>
      <c r="I238" s="505"/>
      <c r="J238" s="505"/>
      <c r="K238" s="505"/>
      <c r="L238" s="505"/>
      <c r="M238" s="505"/>
      <c r="N238" s="505"/>
      <c r="O238" s="505"/>
      <c r="P238" s="505"/>
      <c r="Q238" s="505"/>
      <c r="R238" s="505"/>
      <c r="S238" s="505"/>
      <c r="T238" s="505"/>
      <c r="U238" s="505"/>
      <c r="V238" s="505"/>
      <c r="W238" s="505"/>
      <c r="X238" s="505"/>
      <c r="Y238" s="505"/>
      <c r="Z238" s="505"/>
      <c r="AA238" s="505"/>
      <c r="AB238" s="505"/>
      <c r="AC238" s="505"/>
      <c r="AD238" s="505"/>
      <c r="AE238" s="505"/>
      <c r="AF238" s="505"/>
      <c r="AG238" s="505"/>
      <c r="AH238" s="505"/>
      <c r="AI238" s="505"/>
      <c r="AJ238" s="505"/>
      <c r="AK238" s="505"/>
      <c r="AL238" s="505"/>
      <c r="AM238" s="505"/>
      <c r="AN238" s="505"/>
      <c r="AO238" s="505"/>
      <c r="AP238" s="505"/>
      <c r="AQ238" s="505"/>
      <c r="AR238" s="505"/>
      <c r="AS238" s="505"/>
      <c r="AT238" s="505"/>
      <c r="AU238" s="505"/>
      <c r="AV238" s="505"/>
      <c r="AW238" s="505"/>
      <c r="AX238" s="505"/>
      <c r="AY238" s="505"/>
      <c r="AZ238" s="505"/>
      <c r="BA238" s="505"/>
      <c r="BB238" s="505"/>
      <c r="BC238" s="505"/>
      <c r="BD238" s="505"/>
    </row>
    <row r="239" spans="1:56" ht="9.9499999999999993" customHeight="1">
      <c r="A239" s="505"/>
      <c r="B239" s="505"/>
      <c r="C239" s="505"/>
      <c r="D239" s="505"/>
      <c r="E239" s="505"/>
      <c r="F239" s="505"/>
      <c r="G239" s="505"/>
      <c r="H239" s="505"/>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row>
    <row r="240" spans="1:56" ht="9.9499999999999993" customHeight="1">
      <c r="A240" s="505"/>
      <c r="B240" s="505"/>
      <c r="C240" s="505"/>
      <c r="D240" s="505"/>
      <c r="E240" s="505"/>
      <c r="F240" s="505"/>
      <c r="G240" s="505"/>
      <c r="H240" s="505"/>
      <c r="I240" s="505"/>
      <c r="J240" s="505"/>
      <c r="K240" s="505"/>
      <c r="L240" s="505"/>
      <c r="M240" s="505"/>
      <c r="N240" s="505"/>
      <c r="O240" s="505"/>
      <c r="P240" s="505"/>
      <c r="Q240" s="505"/>
      <c r="R240" s="505"/>
      <c r="S240" s="505"/>
      <c r="T240" s="505"/>
      <c r="U240" s="505"/>
      <c r="V240" s="505"/>
      <c r="W240" s="505"/>
      <c r="X240" s="505"/>
      <c r="Y240" s="505"/>
      <c r="Z240" s="505"/>
      <c r="AA240" s="505"/>
      <c r="AB240" s="505"/>
      <c r="AC240" s="505"/>
      <c r="AD240" s="505"/>
      <c r="AE240" s="505"/>
      <c r="AF240" s="505"/>
      <c r="AG240" s="505"/>
      <c r="AH240" s="505"/>
      <c r="AI240" s="505"/>
      <c r="AJ240" s="505"/>
      <c r="AK240" s="505"/>
      <c r="AL240" s="505"/>
      <c r="AM240" s="505"/>
      <c r="AN240" s="505"/>
      <c r="AO240" s="505"/>
      <c r="AP240" s="505"/>
      <c r="AQ240" s="505"/>
      <c r="AR240" s="505"/>
      <c r="AS240" s="505"/>
      <c r="AT240" s="505"/>
      <c r="AU240" s="505"/>
      <c r="AV240" s="505"/>
      <c r="AW240" s="505"/>
      <c r="AX240" s="505"/>
      <c r="AY240" s="505"/>
      <c r="AZ240" s="505"/>
      <c r="BA240" s="505"/>
      <c r="BB240" s="505"/>
      <c r="BC240" s="505"/>
      <c r="BD240" s="505"/>
    </row>
    <row r="241" spans="1:56" ht="9.9499999999999993" customHeight="1">
      <c r="A241" s="505"/>
      <c r="B241" s="505"/>
      <c r="C241" s="505"/>
      <c r="D241" s="505"/>
      <c r="E241" s="505"/>
      <c r="F241" s="505"/>
      <c r="G241" s="505"/>
      <c r="H241" s="505"/>
      <c r="I241" s="505"/>
      <c r="J241" s="505"/>
      <c r="K241" s="505"/>
      <c r="L241" s="505"/>
      <c r="M241" s="505"/>
      <c r="N241" s="505"/>
      <c r="O241" s="505"/>
      <c r="P241" s="505"/>
      <c r="Q241" s="505"/>
      <c r="R241" s="505"/>
      <c r="S241" s="505"/>
      <c r="T241" s="505"/>
      <c r="U241" s="505"/>
      <c r="V241" s="505"/>
      <c r="W241" s="505"/>
      <c r="X241" s="505"/>
      <c r="Y241" s="505"/>
      <c r="Z241" s="505"/>
      <c r="AA241" s="505"/>
      <c r="AB241" s="505"/>
      <c r="AC241" s="505"/>
      <c r="AD241" s="505"/>
      <c r="AE241" s="505"/>
      <c r="AF241" s="505"/>
      <c r="AG241" s="505"/>
      <c r="AH241" s="505"/>
      <c r="AI241" s="505"/>
      <c r="AJ241" s="505"/>
      <c r="AK241" s="505"/>
      <c r="AL241" s="505"/>
      <c r="AM241" s="505"/>
      <c r="AN241" s="505"/>
      <c r="AO241" s="505"/>
      <c r="AP241" s="505"/>
      <c r="AQ241" s="505"/>
      <c r="AR241" s="505"/>
      <c r="AS241" s="505"/>
      <c r="AT241" s="505"/>
      <c r="AU241" s="505"/>
      <c r="AV241" s="505"/>
      <c r="AW241" s="505"/>
      <c r="AX241" s="505"/>
      <c r="AY241" s="505"/>
      <c r="AZ241" s="505"/>
      <c r="BA241" s="505"/>
      <c r="BB241" s="505"/>
      <c r="BC241" s="505"/>
      <c r="BD241" s="505"/>
    </row>
    <row r="242" spans="1:56" ht="9.9499999999999993" customHeight="1">
      <c r="A242" s="505"/>
      <c r="B242" s="505"/>
      <c r="C242" s="505"/>
      <c r="D242" s="505"/>
      <c r="E242" s="505"/>
      <c r="F242" s="505"/>
      <c r="G242" s="505"/>
      <c r="H242" s="505"/>
      <c r="I242" s="505"/>
      <c r="J242" s="505"/>
      <c r="K242" s="505"/>
      <c r="L242" s="505"/>
      <c r="M242" s="505"/>
      <c r="N242" s="505"/>
      <c r="O242" s="505"/>
      <c r="P242" s="505"/>
      <c r="Q242" s="505"/>
      <c r="R242" s="505"/>
      <c r="S242" s="505"/>
      <c r="T242" s="505"/>
      <c r="U242" s="505"/>
      <c r="V242" s="505"/>
      <c r="W242" s="505"/>
      <c r="X242" s="505"/>
      <c r="Y242" s="505"/>
      <c r="Z242" s="505"/>
      <c r="AA242" s="505"/>
      <c r="AB242" s="505"/>
      <c r="AC242" s="505"/>
      <c r="AD242" s="505"/>
      <c r="AE242" s="505"/>
      <c r="AF242" s="505"/>
      <c r="AG242" s="505"/>
      <c r="AH242" s="505"/>
      <c r="AI242" s="505"/>
      <c r="AJ242" s="505"/>
      <c r="AK242" s="505"/>
      <c r="AL242" s="505"/>
      <c r="AM242" s="505"/>
      <c r="AN242" s="505"/>
      <c r="AO242" s="505"/>
      <c r="AP242" s="505"/>
      <c r="AQ242" s="505"/>
      <c r="AR242" s="505"/>
      <c r="AS242" s="505"/>
      <c r="AT242" s="505"/>
      <c r="AU242" s="505"/>
      <c r="AV242" s="505"/>
      <c r="AW242" s="505"/>
      <c r="AX242" s="505"/>
      <c r="AY242" s="505"/>
      <c r="AZ242" s="505"/>
      <c r="BA242" s="505"/>
      <c r="BB242" s="505"/>
      <c r="BC242" s="505"/>
      <c r="BD242" s="505"/>
    </row>
    <row r="243" spans="1:56" ht="9.9499999999999993" customHeight="1">
      <c r="A243" s="505"/>
      <c r="B243" s="505"/>
      <c r="C243" s="505"/>
      <c r="D243" s="505"/>
      <c r="E243" s="505"/>
      <c r="F243" s="505"/>
      <c r="G243" s="505"/>
      <c r="H243" s="505"/>
      <c r="I243" s="505"/>
      <c r="J243" s="505"/>
      <c r="K243" s="505"/>
      <c r="L243" s="505"/>
      <c r="M243" s="505"/>
      <c r="N243" s="505"/>
      <c r="O243" s="505"/>
      <c r="P243" s="505"/>
      <c r="Q243" s="505"/>
      <c r="R243" s="505"/>
      <c r="S243" s="505"/>
      <c r="T243" s="505"/>
      <c r="U243" s="505"/>
      <c r="V243" s="505"/>
      <c r="W243" s="505"/>
      <c r="X243" s="505"/>
      <c r="Y243" s="505"/>
      <c r="Z243" s="505"/>
      <c r="AA243" s="505"/>
      <c r="AB243" s="505"/>
      <c r="AC243" s="505"/>
      <c r="AD243" s="505"/>
      <c r="AE243" s="505"/>
      <c r="AF243" s="505"/>
      <c r="AG243" s="505"/>
      <c r="AH243" s="505"/>
      <c r="AI243" s="505"/>
      <c r="AJ243" s="505"/>
      <c r="AK243" s="505"/>
      <c r="AL243" s="505"/>
      <c r="AM243" s="505"/>
      <c r="AN243" s="505"/>
      <c r="AO243" s="505"/>
      <c r="AP243" s="505"/>
      <c r="AQ243" s="505"/>
      <c r="AR243" s="505"/>
      <c r="AS243" s="505"/>
      <c r="AT243" s="505"/>
      <c r="AU243" s="505"/>
      <c r="AV243" s="505"/>
      <c r="AW243" s="505"/>
      <c r="AX243" s="505"/>
      <c r="AY243" s="505"/>
      <c r="AZ243" s="505"/>
      <c r="BA243" s="505"/>
      <c r="BB243" s="505"/>
      <c r="BC243" s="505"/>
      <c r="BD243" s="505"/>
    </row>
    <row r="244" spans="1:56" ht="9.9499999999999993" customHeight="1">
      <c r="A244" s="505"/>
      <c r="B244" s="505"/>
      <c r="C244" s="505"/>
      <c r="D244" s="505"/>
      <c r="E244" s="505"/>
      <c r="F244" s="505"/>
      <c r="G244" s="505"/>
      <c r="H244" s="505"/>
      <c r="I244" s="505"/>
      <c r="J244" s="505"/>
      <c r="K244" s="505"/>
      <c r="L244" s="505"/>
      <c r="M244" s="505"/>
      <c r="N244" s="505"/>
      <c r="O244" s="505"/>
      <c r="P244" s="505"/>
      <c r="Q244" s="505"/>
      <c r="R244" s="505"/>
      <c r="S244" s="505"/>
      <c r="T244" s="505"/>
      <c r="U244" s="505"/>
      <c r="V244" s="505"/>
      <c r="W244" s="505"/>
      <c r="X244" s="505"/>
      <c r="Y244" s="505"/>
      <c r="Z244" s="505"/>
      <c r="AA244" s="505"/>
      <c r="AB244" s="505"/>
      <c r="AC244" s="505"/>
      <c r="AD244" s="505"/>
      <c r="AE244" s="505"/>
      <c r="AF244" s="505"/>
      <c r="AG244" s="505"/>
      <c r="AH244" s="505"/>
      <c r="AI244" s="505"/>
      <c r="AJ244" s="505"/>
      <c r="AK244" s="505"/>
      <c r="AL244" s="505"/>
      <c r="AM244" s="505"/>
      <c r="AN244" s="505"/>
      <c r="AO244" s="505"/>
      <c r="AP244" s="505"/>
      <c r="AQ244" s="505"/>
      <c r="AR244" s="505"/>
      <c r="AS244" s="505"/>
      <c r="AT244" s="505"/>
      <c r="AU244" s="505"/>
      <c r="AV244" s="505"/>
      <c r="AW244" s="505"/>
      <c r="AX244" s="505"/>
      <c r="AY244" s="505"/>
      <c r="AZ244" s="505"/>
      <c r="BA244" s="505"/>
      <c r="BB244" s="505"/>
      <c r="BC244" s="505"/>
      <c r="BD244" s="505"/>
    </row>
    <row r="245" spans="1:56" ht="9.9499999999999993" customHeight="1">
      <c r="A245" s="505"/>
      <c r="B245" s="505"/>
      <c r="C245" s="505"/>
      <c r="D245" s="505"/>
      <c r="E245" s="505"/>
      <c r="F245" s="505"/>
      <c r="G245" s="505"/>
      <c r="H245" s="505"/>
      <c r="I245" s="505"/>
      <c r="J245" s="505"/>
      <c r="K245" s="505"/>
      <c r="L245" s="505"/>
      <c r="M245" s="505"/>
      <c r="N245" s="505"/>
      <c r="O245" s="505"/>
      <c r="P245" s="505"/>
      <c r="Q245" s="505"/>
      <c r="R245" s="505"/>
      <c r="S245" s="505"/>
      <c r="T245" s="505"/>
      <c r="U245" s="505"/>
      <c r="V245" s="505"/>
      <c r="W245" s="505"/>
      <c r="X245" s="505"/>
      <c r="Y245" s="505"/>
      <c r="Z245" s="505"/>
      <c r="AA245" s="505"/>
      <c r="AB245" s="505"/>
      <c r="AC245" s="505"/>
      <c r="AD245" s="505"/>
      <c r="AE245" s="505"/>
      <c r="AF245" s="505"/>
      <c r="AG245" s="505"/>
      <c r="AH245" s="505"/>
      <c r="AI245" s="505"/>
      <c r="AJ245" s="505"/>
      <c r="AK245" s="505"/>
      <c r="AL245" s="505"/>
      <c r="AM245" s="505"/>
      <c r="AN245" s="505"/>
      <c r="AO245" s="505"/>
      <c r="AP245" s="505"/>
      <c r="AQ245" s="505"/>
      <c r="AR245" s="505"/>
      <c r="AS245" s="505"/>
      <c r="AT245" s="505"/>
      <c r="AU245" s="505"/>
      <c r="AV245" s="505"/>
      <c r="AW245" s="505"/>
      <c r="AX245" s="505"/>
      <c r="AY245" s="505"/>
      <c r="AZ245" s="505"/>
      <c r="BA245" s="505"/>
      <c r="BB245" s="505"/>
      <c r="BC245" s="505"/>
      <c r="BD245" s="505"/>
    </row>
    <row r="246" spans="1:56" ht="9.9499999999999993" customHeight="1">
      <c r="A246" s="505"/>
      <c r="B246" s="505"/>
      <c r="C246" s="505"/>
      <c r="D246" s="505"/>
      <c r="E246" s="505"/>
      <c r="F246" s="505"/>
      <c r="G246" s="505"/>
      <c r="H246" s="505"/>
      <c r="I246" s="505"/>
      <c r="J246" s="505"/>
      <c r="K246" s="505"/>
      <c r="L246" s="505"/>
      <c r="M246" s="505"/>
      <c r="N246" s="505"/>
      <c r="O246" s="505"/>
      <c r="P246" s="505"/>
      <c r="Q246" s="505"/>
      <c r="R246" s="505"/>
      <c r="S246" s="505"/>
      <c r="T246" s="505"/>
      <c r="U246" s="505"/>
      <c r="V246" s="505"/>
      <c r="W246" s="505"/>
      <c r="X246" s="505"/>
      <c r="Y246" s="505"/>
      <c r="Z246" s="505"/>
      <c r="AA246" s="505"/>
      <c r="AB246" s="505"/>
      <c r="AC246" s="505"/>
      <c r="AD246" s="505"/>
      <c r="AE246" s="505"/>
      <c r="AF246" s="505"/>
      <c r="AG246" s="505"/>
      <c r="AH246" s="505"/>
      <c r="AI246" s="505"/>
      <c r="AJ246" s="505"/>
      <c r="AK246" s="505"/>
      <c r="AL246" s="505"/>
      <c r="AM246" s="505"/>
      <c r="AN246" s="505"/>
      <c r="AO246" s="505"/>
      <c r="AP246" s="505"/>
      <c r="AQ246" s="505"/>
      <c r="AR246" s="505"/>
      <c r="AS246" s="505"/>
      <c r="AT246" s="505"/>
      <c r="AU246" s="505"/>
      <c r="AV246" s="505"/>
      <c r="AW246" s="505"/>
      <c r="AX246" s="505"/>
      <c r="AY246" s="505"/>
      <c r="AZ246" s="505"/>
      <c r="BA246" s="505"/>
      <c r="BB246" s="505"/>
      <c r="BC246" s="505"/>
      <c r="BD246" s="505"/>
    </row>
    <row r="247" spans="1:56" ht="9.9499999999999993" customHeight="1">
      <c r="A247" s="505"/>
      <c r="B247" s="505"/>
      <c r="C247" s="505"/>
      <c r="D247" s="505"/>
      <c r="E247" s="505"/>
      <c r="F247" s="505"/>
      <c r="G247" s="505"/>
      <c r="H247" s="505"/>
      <c r="I247" s="505"/>
      <c r="J247" s="505"/>
      <c r="K247" s="505"/>
      <c r="L247" s="505"/>
      <c r="M247" s="505"/>
      <c r="N247" s="505"/>
      <c r="O247" s="505"/>
      <c r="P247" s="505"/>
      <c r="Q247" s="505"/>
      <c r="R247" s="505"/>
      <c r="S247" s="505"/>
      <c r="T247" s="505"/>
      <c r="U247" s="505"/>
      <c r="V247" s="505"/>
      <c r="W247" s="505"/>
      <c r="X247" s="505"/>
      <c r="Y247" s="505"/>
      <c r="Z247" s="505"/>
      <c r="AA247" s="505"/>
      <c r="AB247" s="505"/>
      <c r="AC247" s="505"/>
      <c r="AD247" s="505"/>
      <c r="AE247" s="505"/>
      <c r="AF247" s="505"/>
      <c r="AG247" s="505"/>
      <c r="AH247" s="505"/>
      <c r="AI247" s="505"/>
      <c r="AJ247" s="505"/>
      <c r="AK247" s="505"/>
      <c r="AL247" s="505"/>
      <c r="AM247" s="505"/>
      <c r="AN247" s="505"/>
      <c r="AO247" s="505"/>
      <c r="AP247" s="505"/>
      <c r="AQ247" s="505"/>
      <c r="AR247" s="505"/>
      <c r="AS247" s="505"/>
      <c r="AT247" s="505"/>
      <c r="AU247" s="505"/>
      <c r="AV247" s="505"/>
      <c r="AW247" s="505"/>
      <c r="AX247" s="505"/>
      <c r="AY247" s="505"/>
      <c r="AZ247" s="505"/>
      <c r="BA247" s="505"/>
      <c r="BB247" s="505"/>
      <c r="BC247" s="505"/>
      <c r="BD247" s="505"/>
    </row>
    <row r="248" spans="1:56" ht="9.9499999999999993" customHeight="1">
      <c r="A248" s="505"/>
      <c r="B248" s="505"/>
      <c r="C248" s="505"/>
      <c r="D248" s="505"/>
      <c r="E248" s="505"/>
      <c r="F248" s="505"/>
      <c r="G248" s="505"/>
      <c r="H248" s="505"/>
      <c r="I248" s="505"/>
      <c r="J248" s="505"/>
      <c r="K248" s="505"/>
      <c r="L248" s="505"/>
      <c r="M248" s="505"/>
      <c r="N248" s="505"/>
      <c r="O248" s="505"/>
      <c r="P248" s="505"/>
      <c r="Q248" s="505"/>
      <c r="R248" s="505"/>
      <c r="S248" s="505"/>
      <c r="T248" s="505"/>
      <c r="U248" s="505"/>
      <c r="V248" s="505"/>
      <c r="W248" s="505"/>
      <c r="X248" s="505"/>
      <c r="Y248" s="505"/>
      <c r="Z248" s="505"/>
      <c r="AA248" s="505"/>
      <c r="AB248" s="505"/>
      <c r="AC248" s="505"/>
      <c r="AD248" s="505"/>
      <c r="AE248" s="505"/>
      <c r="AF248" s="505"/>
      <c r="AG248" s="505"/>
      <c r="AH248" s="505"/>
      <c r="AI248" s="505"/>
      <c r="AJ248" s="505"/>
      <c r="AK248" s="505"/>
      <c r="AL248" s="505"/>
      <c r="AM248" s="505"/>
      <c r="AN248" s="505"/>
      <c r="AO248" s="505"/>
      <c r="AP248" s="505"/>
      <c r="AQ248" s="505"/>
      <c r="AR248" s="505"/>
      <c r="AS248" s="505"/>
      <c r="AT248" s="505"/>
      <c r="AU248" s="505"/>
      <c r="AV248" s="505"/>
      <c r="AW248" s="505"/>
      <c r="AX248" s="505"/>
      <c r="AY248" s="505"/>
      <c r="AZ248" s="505"/>
      <c r="BA248" s="505"/>
      <c r="BB248" s="505"/>
      <c r="BC248" s="505"/>
      <c r="BD248" s="505"/>
    </row>
    <row r="249" spans="1:56" ht="9.9499999999999993" customHeight="1">
      <c r="A249" s="505"/>
      <c r="B249" s="505"/>
      <c r="C249" s="505"/>
      <c r="D249" s="505"/>
      <c r="E249" s="505"/>
      <c r="F249" s="505"/>
      <c r="G249" s="505"/>
      <c r="H249" s="505"/>
      <c r="I249" s="505"/>
      <c r="J249" s="505"/>
      <c r="K249" s="505"/>
      <c r="L249" s="505"/>
      <c r="M249" s="505"/>
      <c r="N249" s="505"/>
      <c r="O249" s="505"/>
      <c r="P249" s="505"/>
      <c r="Q249" s="505"/>
      <c r="R249" s="505"/>
      <c r="S249" s="505"/>
      <c r="T249" s="505"/>
      <c r="U249" s="505"/>
      <c r="V249" s="505"/>
      <c r="W249" s="505"/>
      <c r="X249" s="505"/>
      <c r="Y249" s="505"/>
      <c r="Z249" s="505"/>
      <c r="AA249" s="505"/>
      <c r="AB249" s="505"/>
      <c r="AC249" s="505"/>
      <c r="AD249" s="505"/>
      <c r="AE249" s="505"/>
      <c r="AF249" s="505"/>
      <c r="AG249" s="505"/>
      <c r="AH249" s="505"/>
      <c r="AI249" s="505"/>
      <c r="AJ249" s="505"/>
      <c r="AK249" s="505"/>
      <c r="AL249" s="505"/>
      <c r="AM249" s="505"/>
      <c r="AN249" s="505"/>
      <c r="AO249" s="505"/>
      <c r="AP249" s="505"/>
      <c r="AQ249" s="505"/>
      <c r="AR249" s="505"/>
      <c r="AS249" s="505"/>
      <c r="AT249" s="505"/>
      <c r="AU249" s="505"/>
      <c r="AV249" s="505"/>
      <c r="AW249" s="505"/>
      <c r="AX249" s="505"/>
      <c r="AY249" s="505"/>
      <c r="AZ249" s="505"/>
      <c r="BA249" s="505"/>
      <c r="BB249" s="505"/>
      <c r="BC249" s="505"/>
      <c r="BD249" s="505"/>
    </row>
    <row r="250" spans="1:56" ht="9.9499999999999993" customHeight="1">
      <c r="A250" s="505"/>
      <c r="B250" s="505"/>
      <c r="C250" s="505"/>
      <c r="D250" s="505"/>
      <c r="E250" s="505"/>
      <c r="F250" s="505"/>
      <c r="G250" s="505"/>
      <c r="H250" s="505"/>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row>
    <row r="251" spans="1:56" ht="9.9499999999999993" customHeight="1">
      <c r="A251" s="505"/>
      <c r="B251" s="505"/>
      <c r="C251" s="505"/>
      <c r="D251" s="505"/>
      <c r="E251" s="505"/>
      <c r="F251" s="505"/>
      <c r="G251" s="505"/>
      <c r="H251" s="505"/>
      <c r="I251" s="505"/>
      <c r="J251" s="505"/>
      <c r="K251" s="505"/>
      <c r="L251" s="505"/>
      <c r="M251" s="505"/>
      <c r="N251" s="505"/>
      <c r="O251" s="505"/>
      <c r="P251" s="505"/>
      <c r="Q251" s="505"/>
      <c r="R251" s="505"/>
      <c r="S251" s="505"/>
      <c r="T251" s="505"/>
      <c r="U251" s="505"/>
      <c r="V251" s="505"/>
      <c r="W251" s="505"/>
      <c r="X251" s="505"/>
      <c r="Y251" s="505"/>
      <c r="Z251" s="505"/>
      <c r="AA251" s="505"/>
      <c r="AB251" s="505"/>
      <c r="AC251" s="505"/>
      <c r="AD251" s="505"/>
      <c r="AE251" s="505"/>
      <c r="AF251" s="505"/>
      <c r="AG251" s="505"/>
      <c r="AH251" s="505"/>
      <c r="AI251" s="505"/>
      <c r="AJ251" s="505"/>
      <c r="AK251" s="505"/>
      <c r="AL251" s="505"/>
      <c r="AM251" s="505"/>
      <c r="AN251" s="505"/>
      <c r="AO251" s="505"/>
      <c r="AP251" s="505"/>
      <c r="AQ251" s="505"/>
      <c r="AR251" s="505"/>
      <c r="AS251" s="505"/>
      <c r="AT251" s="505"/>
      <c r="AU251" s="505"/>
      <c r="AV251" s="505"/>
      <c r="AW251" s="505"/>
      <c r="AX251" s="505"/>
      <c r="AY251" s="505"/>
      <c r="AZ251" s="505"/>
      <c r="BA251" s="505"/>
      <c r="BB251" s="505"/>
      <c r="BC251" s="505"/>
      <c r="BD251" s="505"/>
    </row>
    <row r="252" spans="1:56" ht="9.9499999999999993" customHeight="1">
      <c r="A252" s="505"/>
      <c r="B252" s="505"/>
      <c r="C252" s="505"/>
      <c r="D252" s="505"/>
      <c r="E252" s="505"/>
      <c r="F252" s="505"/>
      <c r="G252" s="505"/>
      <c r="H252" s="505"/>
      <c r="I252" s="505"/>
      <c r="J252" s="505"/>
      <c r="K252" s="505"/>
      <c r="L252" s="505"/>
      <c r="M252" s="505"/>
      <c r="N252" s="505"/>
      <c r="O252" s="505"/>
      <c r="P252" s="505"/>
      <c r="Q252" s="505"/>
      <c r="R252" s="505"/>
      <c r="S252" s="505"/>
      <c r="T252" s="505"/>
      <c r="U252" s="505"/>
      <c r="V252" s="505"/>
      <c r="W252" s="505"/>
      <c r="X252" s="505"/>
      <c r="Y252" s="505"/>
      <c r="Z252" s="505"/>
      <c r="AA252" s="505"/>
      <c r="AB252" s="505"/>
      <c r="AC252" s="505"/>
      <c r="AD252" s="505"/>
      <c r="AE252" s="505"/>
      <c r="AF252" s="505"/>
      <c r="AG252" s="505"/>
      <c r="AH252" s="505"/>
      <c r="AI252" s="505"/>
      <c r="AJ252" s="505"/>
      <c r="AK252" s="505"/>
      <c r="AL252" s="505"/>
      <c r="AM252" s="505"/>
      <c r="AN252" s="505"/>
      <c r="AO252" s="505"/>
      <c r="AP252" s="505"/>
      <c r="AQ252" s="505"/>
      <c r="AR252" s="505"/>
      <c r="AS252" s="505"/>
      <c r="AT252" s="505"/>
      <c r="AU252" s="505"/>
      <c r="AV252" s="505"/>
      <c r="AW252" s="505"/>
      <c r="AX252" s="505"/>
      <c r="AY252" s="505"/>
      <c r="AZ252" s="505"/>
      <c r="BA252" s="505"/>
      <c r="BB252" s="505"/>
      <c r="BC252" s="505"/>
      <c r="BD252" s="505"/>
    </row>
    <row r="253" spans="1:56" ht="9.9499999999999993" customHeight="1">
      <c r="A253" s="505"/>
      <c r="B253" s="505"/>
      <c r="C253" s="505"/>
      <c r="D253" s="505"/>
      <c r="E253" s="505"/>
      <c r="F253" s="505"/>
      <c r="G253" s="505"/>
      <c r="H253" s="505"/>
      <c r="I253" s="505"/>
      <c r="J253" s="505"/>
      <c r="K253" s="505"/>
      <c r="L253" s="505"/>
      <c r="M253" s="505"/>
      <c r="N253" s="505"/>
      <c r="O253" s="505"/>
      <c r="P253" s="505"/>
      <c r="Q253" s="505"/>
      <c r="R253" s="505"/>
      <c r="S253" s="505"/>
      <c r="T253" s="505"/>
      <c r="U253" s="505"/>
      <c r="V253" s="505"/>
      <c r="W253" s="505"/>
      <c r="X253" s="505"/>
      <c r="Y253" s="505"/>
      <c r="Z253" s="505"/>
      <c r="AA253" s="505"/>
      <c r="AB253" s="505"/>
      <c r="AC253" s="505"/>
      <c r="AD253" s="505"/>
      <c r="AE253" s="505"/>
      <c r="AF253" s="505"/>
      <c r="AG253" s="505"/>
      <c r="AH253" s="505"/>
      <c r="AI253" s="505"/>
      <c r="AJ253" s="505"/>
      <c r="AK253" s="505"/>
      <c r="AL253" s="505"/>
      <c r="AM253" s="505"/>
      <c r="AN253" s="505"/>
      <c r="AO253" s="505"/>
      <c r="AP253" s="505"/>
      <c r="AQ253" s="505"/>
      <c r="AR253" s="505"/>
      <c r="AS253" s="505"/>
      <c r="AT253" s="505"/>
      <c r="AU253" s="505"/>
      <c r="AV253" s="505"/>
      <c r="AW253" s="505"/>
      <c r="AX253" s="505"/>
      <c r="AY253" s="505"/>
      <c r="AZ253" s="505"/>
      <c r="BA253" s="505"/>
      <c r="BB253" s="505"/>
      <c r="BC253" s="505"/>
      <c r="BD253" s="505"/>
    </row>
    <row r="254" spans="1:56" ht="9.9499999999999993" customHeight="1">
      <c r="A254" s="505"/>
      <c r="B254" s="505"/>
      <c r="C254" s="505"/>
      <c r="D254" s="505"/>
      <c r="E254" s="505"/>
      <c r="F254" s="505"/>
      <c r="G254" s="505"/>
      <c r="H254" s="505"/>
      <c r="I254" s="505"/>
      <c r="J254" s="505"/>
      <c r="K254" s="505"/>
      <c r="L254" s="505"/>
      <c r="M254" s="505"/>
      <c r="N254" s="505"/>
      <c r="O254" s="505"/>
      <c r="P254" s="505"/>
      <c r="Q254" s="505"/>
      <c r="R254" s="505"/>
      <c r="S254" s="505"/>
      <c r="T254" s="505"/>
      <c r="U254" s="505"/>
      <c r="V254" s="505"/>
      <c r="W254" s="505"/>
      <c r="X254" s="505"/>
      <c r="Y254" s="505"/>
      <c r="Z254" s="505"/>
      <c r="AA254" s="505"/>
      <c r="AB254" s="505"/>
      <c r="AC254" s="505"/>
      <c r="AD254" s="505"/>
      <c r="AE254" s="505"/>
      <c r="AF254" s="505"/>
      <c r="AG254" s="505"/>
      <c r="AH254" s="505"/>
      <c r="AI254" s="505"/>
      <c r="AJ254" s="505"/>
      <c r="AK254" s="505"/>
      <c r="AL254" s="505"/>
      <c r="AM254" s="505"/>
      <c r="AN254" s="505"/>
      <c r="AO254" s="505"/>
      <c r="AP254" s="505"/>
      <c r="AQ254" s="505"/>
      <c r="AR254" s="505"/>
      <c r="AS254" s="505"/>
      <c r="AT254" s="505"/>
      <c r="AU254" s="505"/>
      <c r="AV254" s="505"/>
      <c r="AW254" s="505"/>
      <c r="AX254" s="505"/>
      <c r="AY254" s="505"/>
      <c r="AZ254" s="505"/>
      <c r="BA254" s="505"/>
      <c r="BB254" s="505"/>
      <c r="BC254" s="505"/>
      <c r="BD254" s="505"/>
    </row>
    <row r="255" spans="1:56" ht="9.9499999999999993" customHeight="1">
      <c r="A255" s="505"/>
      <c r="B255" s="505"/>
      <c r="C255" s="505"/>
      <c r="D255" s="505"/>
      <c r="E255" s="505"/>
      <c r="F255" s="505"/>
      <c r="G255" s="505"/>
      <c r="H255" s="505"/>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row>
    <row r="256" spans="1:56" ht="9.9499999999999993" customHeight="1">
      <c r="A256" s="505"/>
      <c r="B256" s="505"/>
      <c r="C256" s="505"/>
      <c r="D256" s="505"/>
      <c r="E256" s="505"/>
      <c r="F256" s="505"/>
      <c r="G256" s="505"/>
      <c r="H256" s="505"/>
      <c r="I256" s="505"/>
      <c r="J256" s="505"/>
      <c r="K256" s="505"/>
      <c r="L256" s="505"/>
      <c r="M256" s="505"/>
      <c r="N256" s="505"/>
      <c r="O256" s="505"/>
      <c r="P256" s="505"/>
      <c r="Q256" s="505"/>
      <c r="R256" s="505"/>
      <c r="S256" s="505"/>
      <c r="T256" s="505"/>
      <c r="U256" s="505"/>
      <c r="V256" s="505"/>
      <c r="W256" s="505"/>
      <c r="X256" s="505"/>
      <c r="Y256" s="505"/>
      <c r="Z256" s="505"/>
      <c r="AA256" s="505"/>
      <c r="AB256" s="505"/>
      <c r="AC256" s="505"/>
      <c r="AD256" s="505"/>
      <c r="AE256" s="505"/>
      <c r="AF256" s="505"/>
      <c r="AG256" s="505"/>
      <c r="AH256" s="505"/>
      <c r="AI256" s="505"/>
      <c r="AJ256" s="505"/>
      <c r="AK256" s="505"/>
      <c r="AL256" s="505"/>
      <c r="AM256" s="505"/>
      <c r="AN256" s="505"/>
      <c r="AO256" s="505"/>
      <c r="AP256" s="505"/>
      <c r="AQ256" s="505"/>
      <c r="AR256" s="505"/>
      <c r="AS256" s="505"/>
      <c r="AT256" s="505"/>
      <c r="AU256" s="505"/>
      <c r="AV256" s="505"/>
      <c r="AW256" s="505"/>
      <c r="AX256" s="505"/>
      <c r="AY256" s="505"/>
      <c r="AZ256" s="505"/>
      <c r="BA256" s="505"/>
      <c r="BB256" s="505"/>
      <c r="BC256" s="505"/>
      <c r="BD256" s="505"/>
    </row>
    <row r="257" spans="1:56" ht="9.9499999999999993" customHeight="1">
      <c r="A257" s="505"/>
      <c r="B257" s="505"/>
      <c r="C257" s="505"/>
      <c r="D257" s="505"/>
      <c r="E257" s="505"/>
      <c r="F257" s="505"/>
      <c r="G257" s="505"/>
      <c r="H257" s="505"/>
      <c r="I257" s="505"/>
      <c r="J257" s="505"/>
      <c r="K257" s="505"/>
      <c r="L257" s="505"/>
      <c r="M257" s="505"/>
      <c r="N257" s="505"/>
      <c r="O257" s="505"/>
      <c r="P257" s="505"/>
      <c r="Q257" s="505"/>
      <c r="R257" s="505"/>
      <c r="S257" s="505"/>
      <c r="T257" s="505"/>
      <c r="U257" s="505"/>
      <c r="V257" s="505"/>
      <c r="W257" s="505"/>
      <c r="X257" s="505"/>
      <c r="Y257" s="505"/>
      <c r="Z257" s="505"/>
      <c r="AA257" s="505"/>
      <c r="AB257" s="505"/>
      <c r="AC257" s="505"/>
      <c r="AD257" s="505"/>
      <c r="AE257" s="505"/>
      <c r="AF257" s="505"/>
      <c r="AG257" s="505"/>
      <c r="AH257" s="505"/>
      <c r="AI257" s="505"/>
      <c r="AJ257" s="505"/>
      <c r="AK257" s="505"/>
      <c r="AL257" s="505"/>
      <c r="AM257" s="505"/>
      <c r="AN257" s="505"/>
      <c r="AO257" s="505"/>
      <c r="AP257" s="505"/>
      <c r="AQ257" s="505"/>
      <c r="AR257" s="505"/>
      <c r="AS257" s="505"/>
      <c r="AT257" s="505"/>
      <c r="AU257" s="505"/>
      <c r="AV257" s="505"/>
      <c r="AW257" s="505"/>
      <c r="AX257" s="505"/>
      <c r="AY257" s="505"/>
      <c r="AZ257" s="505"/>
      <c r="BA257" s="505"/>
      <c r="BB257" s="505"/>
      <c r="BC257" s="505"/>
      <c r="BD257" s="505"/>
    </row>
    <row r="258" spans="1:56" ht="9.9499999999999993" customHeight="1">
      <c r="A258" s="505"/>
      <c r="B258" s="505"/>
      <c r="C258" s="505"/>
      <c r="D258" s="505"/>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5"/>
      <c r="AD258" s="505"/>
      <c r="AE258" s="505"/>
      <c r="AF258" s="505"/>
      <c r="AG258" s="505"/>
      <c r="AH258" s="505"/>
      <c r="AI258" s="505"/>
      <c r="AJ258" s="505"/>
      <c r="AK258" s="505"/>
      <c r="AL258" s="505"/>
      <c r="AM258" s="505"/>
      <c r="AN258" s="505"/>
      <c r="AO258" s="505"/>
      <c r="AP258" s="505"/>
      <c r="AQ258" s="505"/>
      <c r="AR258" s="505"/>
      <c r="AS258" s="505"/>
      <c r="AT258" s="505"/>
      <c r="AU258" s="505"/>
      <c r="AV258" s="505"/>
      <c r="AW258" s="505"/>
      <c r="AX258" s="505"/>
      <c r="AY258" s="505"/>
      <c r="AZ258" s="505"/>
      <c r="BA258" s="505"/>
      <c r="BB258" s="505"/>
      <c r="BC258" s="505"/>
      <c r="BD258" s="505"/>
    </row>
    <row r="259" spans="1:56" ht="9.9499999999999993" customHeight="1">
      <c r="A259" s="505"/>
      <c r="B259" s="505"/>
      <c r="C259" s="505"/>
      <c r="D259" s="505"/>
      <c r="E259" s="505"/>
      <c r="F259" s="505"/>
      <c r="G259" s="505"/>
      <c r="H259" s="505"/>
      <c r="I259" s="505"/>
      <c r="J259" s="505"/>
      <c r="K259" s="505"/>
      <c r="L259" s="505"/>
      <c r="M259" s="505"/>
      <c r="N259" s="505"/>
      <c r="O259" s="505"/>
      <c r="P259" s="505"/>
      <c r="Q259" s="505"/>
      <c r="R259" s="505"/>
      <c r="S259" s="505"/>
      <c r="T259" s="505"/>
      <c r="U259" s="505"/>
      <c r="V259" s="505"/>
      <c r="W259" s="505"/>
      <c r="X259" s="505"/>
      <c r="Y259" s="505"/>
      <c r="Z259" s="505"/>
      <c r="AA259" s="505"/>
      <c r="AB259" s="505"/>
      <c r="AC259" s="505"/>
      <c r="AD259" s="505"/>
      <c r="AE259" s="505"/>
      <c r="AF259" s="505"/>
      <c r="AG259" s="505"/>
      <c r="AH259" s="505"/>
      <c r="AI259" s="505"/>
      <c r="AJ259" s="505"/>
      <c r="AK259" s="505"/>
      <c r="AL259" s="505"/>
      <c r="AM259" s="505"/>
      <c r="AN259" s="505"/>
      <c r="AO259" s="505"/>
      <c r="AP259" s="505"/>
      <c r="AQ259" s="505"/>
      <c r="AR259" s="505"/>
      <c r="AS259" s="505"/>
      <c r="AT259" s="505"/>
      <c r="AU259" s="505"/>
      <c r="AV259" s="505"/>
      <c r="AW259" s="505"/>
      <c r="AX259" s="505"/>
      <c r="AY259" s="505"/>
      <c r="AZ259" s="505"/>
      <c r="BA259" s="505"/>
      <c r="BB259" s="505"/>
      <c r="BC259" s="505"/>
      <c r="BD259" s="505"/>
    </row>
    <row r="260" spans="1:56" ht="9.9499999999999993" customHeight="1">
      <c r="A260" s="505"/>
      <c r="B260" s="505"/>
      <c r="C260" s="505"/>
      <c r="D260" s="505"/>
      <c r="E260" s="505"/>
      <c r="F260" s="505"/>
      <c r="G260" s="505"/>
      <c r="H260" s="505"/>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row>
    <row r="261" spans="1:56" ht="9.9499999999999993" customHeight="1">
      <c r="A261" s="505"/>
      <c r="B261" s="505"/>
      <c r="C261" s="505"/>
      <c r="D261" s="505"/>
      <c r="E261" s="505"/>
      <c r="F261" s="505"/>
      <c r="G261" s="505"/>
      <c r="H261" s="505"/>
      <c r="I261" s="505"/>
      <c r="J261" s="505"/>
      <c r="K261" s="505"/>
      <c r="L261" s="505"/>
      <c r="M261" s="505"/>
      <c r="N261" s="505"/>
      <c r="O261" s="505"/>
      <c r="P261" s="505"/>
      <c r="Q261" s="505"/>
      <c r="R261" s="505"/>
      <c r="S261" s="505"/>
      <c r="T261" s="505"/>
      <c r="U261" s="505"/>
      <c r="V261" s="505"/>
      <c r="W261" s="505"/>
      <c r="X261" s="505"/>
      <c r="Y261" s="505"/>
      <c r="Z261" s="505"/>
      <c r="AA261" s="505"/>
      <c r="AB261" s="505"/>
      <c r="AC261" s="505"/>
      <c r="AD261" s="505"/>
      <c r="AE261" s="505"/>
      <c r="AF261" s="505"/>
      <c r="AG261" s="505"/>
      <c r="AH261" s="505"/>
      <c r="AI261" s="505"/>
      <c r="AJ261" s="505"/>
      <c r="AK261" s="505"/>
      <c r="AL261" s="505"/>
      <c r="AM261" s="505"/>
      <c r="AN261" s="505"/>
      <c r="AO261" s="505"/>
      <c r="AP261" s="505"/>
      <c r="AQ261" s="505"/>
      <c r="AR261" s="505"/>
      <c r="AS261" s="505"/>
      <c r="AT261" s="505"/>
      <c r="AU261" s="505"/>
      <c r="AV261" s="505"/>
      <c r="AW261" s="505"/>
      <c r="AX261" s="505"/>
      <c r="AY261" s="505"/>
      <c r="AZ261" s="505"/>
      <c r="BA261" s="505"/>
      <c r="BB261" s="505"/>
      <c r="BC261" s="505"/>
      <c r="BD261" s="505"/>
    </row>
    <row r="262" spans="1:56" ht="9.9499999999999993" customHeight="1">
      <c r="A262" s="505"/>
      <c r="B262" s="505"/>
      <c r="C262" s="505"/>
      <c r="D262" s="505"/>
      <c r="E262" s="505"/>
      <c r="F262" s="505"/>
      <c r="G262" s="505"/>
      <c r="H262" s="505"/>
      <c r="I262" s="505"/>
      <c r="J262" s="505"/>
      <c r="K262" s="505"/>
      <c r="L262" s="505"/>
      <c r="M262" s="505"/>
      <c r="N262" s="505"/>
      <c r="O262" s="505"/>
      <c r="P262" s="505"/>
      <c r="Q262" s="505"/>
      <c r="R262" s="505"/>
      <c r="S262" s="505"/>
      <c r="T262" s="505"/>
      <c r="U262" s="505"/>
      <c r="V262" s="505"/>
      <c r="W262" s="505"/>
      <c r="X262" s="505"/>
      <c r="Y262" s="505"/>
      <c r="Z262" s="505"/>
      <c r="AA262" s="505"/>
      <c r="AB262" s="505"/>
      <c r="AC262" s="505"/>
      <c r="AD262" s="505"/>
      <c r="AE262" s="505"/>
      <c r="AF262" s="505"/>
      <c r="AG262" s="505"/>
      <c r="AH262" s="505"/>
      <c r="AI262" s="505"/>
      <c r="AJ262" s="505"/>
      <c r="AK262" s="505"/>
      <c r="AL262" s="505"/>
      <c r="AM262" s="505"/>
      <c r="AN262" s="505"/>
      <c r="AO262" s="505"/>
      <c r="AP262" s="505"/>
      <c r="AQ262" s="505"/>
      <c r="AR262" s="505"/>
      <c r="AS262" s="505"/>
      <c r="AT262" s="505"/>
      <c r="AU262" s="505"/>
      <c r="AV262" s="505"/>
      <c r="AW262" s="505"/>
      <c r="AX262" s="505"/>
      <c r="AY262" s="505"/>
      <c r="AZ262" s="505"/>
      <c r="BA262" s="505"/>
      <c r="BB262" s="505"/>
      <c r="BC262" s="505"/>
      <c r="BD262" s="505"/>
    </row>
    <row r="263" spans="1:56" ht="9.9499999999999993" customHeight="1">
      <c r="A263" s="505"/>
      <c r="B263" s="505"/>
      <c r="C263" s="505"/>
      <c r="D263" s="505"/>
      <c r="E263" s="505"/>
      <c r="F263" s="505"/>
      <c r="G263" s="505"/>
      <c r="H263" s="505"/>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row>
    <row r="264" spans="1:56" ht="9.9499999999999993" customHeight="1">
      <c r="A264" s="505"/>
      <c r="B264" s="505"/>
      <c r="C264" s="505"/>
      <c r="D264" s="505"/>
      <c r="E264" s="505"/>
      <c r="F264" s="505"/>
      <c r="G264" s="505"/>
      <c r="H264" s="505"/>
      <c r="I264" s="505"/>
      <c r="J264" s="505"/>
      <c r="K264" s="505"/>
      <c r="L264" s="505"/>
      <c r="M264" s="505"/>
      <c r="N264" s="505"/>
      <c r="O264" s="505"/>
      <c r="P264" s="505"/>
      <c r="Q264" s="505"/>
      <c r="R264" s="505"/>
      <c r="S264" s="505"/>
      <c r="T264" s="505"/>
      <c r="U264" s="505"/>
      <c r="V264" s="505"/>
      <c r="W264" s="505"/>
      <c r="X264" s="505"/>
      <c r="Y264" s="505"/>
      <c r="Z264" s="505"/>
      <c r="AA264" s="505"/>
      <c r="AB264" s="505"/>
      <c r="AC264" s="505"/>
      <c r="AD264" s="505"/>
      <c r="AE264" s="505"/>
      <c r="AF264" s="505"/>
      <c r="AG264" s="505"/>
      <c r="AH264" s="505"/>
      <c r="AI264" s="505"/>
      <c r="AJ264" s="505"/>
      <c r="AK264" s="505"/>
      <c r="AL264" s="505"/>
      <c r="AM264" s="505"/>
      <c r="AN264" s="505"/>
      <c r="AO264" s="505"/>
      <c r="AP264" s="505"/>
      <c r="AQ264" s="505"/>
      <c r="AR264" s="505"/>
      <c r="AS264" s="505"/>
      <c r="AT264" s="505"/>
      <c r="AU264" s="505"/>
      <c r="AV264" s="505"/>
      <c r="AW264" s="505"/>
      <c r="AX264" s="505"/>
      <c r="AY264" s="505"/>
      <c r="AZ264" s="505"/>
      <c r="BA264" s="505"/>
      <c r="BB264" s="505"/>
      <c r="BC264" s="505"/>
      <c r="BD264" s="505"/>
    </row>
    <row r="265" spans="1:56" ht="9.9499999999999993" customHeight="1">
      <c r="A265" s="505"/>
      <c r="B265" s="505"/>
      <c r="C265" s="505"/>
      <c r="D265" s="505"/>
      <c r="E265" s="505"/>
      <c r="F265" s="505"/>
      <c r="G265" s="505"/>
      <c r="H265" s="505"/>
      <c r="I265" s="505"/>
      <c r="J265" s="505"/>
      <c r="K265" s="505"/>
      <c r="L265" s="505"/>
      <c r="M265" s="505"/>
      <c r="N265" s="505"/>
      <c r="O265" s="505"/>
      <c r="P265" s="505"/>
      <c r="Q265" s="505"/>
      <c r="R265" s="505"/>
      <c r="S265" s="505"/>
      <c r="T265" s="505"/>
      <c r="U265" s="505"/>
      <c r="V265" s="505"/>
      <c r="W265" s="505"/>
      <c r="X265" s="505"/>
      <c r="Y265" s="505"/>
      <c r="Z265" s="505"/>
      <c r="AA265" s="505"/>
      <c r="AB265" s="505"/>
      <c r="AC265" s="505"/>
      <c r="AD265" s="505"/>
      <c r="AE265" s="505"/>
      <c r="AF265" s="505"/>
      <c r="AG265" s="505"/>
      <c r="AH265" s="505"/>
      <c r="AI265" s="505"/>
      <c r="AJ265" s="505"/>
      <c r="AK265" s="505"/>
      <c r="AL265" s="505"/>
      <c r="AM265" s="505"/>
      <c r="AN265" s="505"/>
      <c r="AO265" s="505"/>
      <c r="AP265" s="505"/>
      <c r="AQ265" s="505"/>
      <c r="AR265" s="505"/>
      <c r="AS265" s="505"/>
      <c r="AT265" s="505"/>
      <c r="AU265" s="505"/>
      <c r="AV265" s="505"/>
      <c r="AW265" s="505"/>
      <c r="AX265" s="505"/>
      <c r="AY265" s="505"/>
      <c r="AZ265" s="505"/>
      <c r="BA265" s="505"/>
      <c r="BB265" s="505"/>
      <c r="BC265" s="505"/>
      <c r="BD265" s="505"/>
    </row>
    <row r="266" spans="1:56" ht="9.9499999999999993" customHeight="1">
      <c r="A266" s="505"/>
      <c r="B266" s="505"/>
      <c r="C266" s="505"/>
      <c r="D266" s="505"/>
      <c r="E266" s="505"/>
      <c r="F266" s="505"/>
      <c r="G266" s="505"/>
      <c r="H266" s="505"/>
      <c r="I266" s="505"/>
      <c r="J266" s="505"/>
      <c r="K266" s="505"/>
      <c r="L266" s="505"/>
      <c r="M266" s="505"/>
      <c r="N266" s="505"/>
      <c r="O266" s="505"/>
      <c r="P266" s="505"/>
      <c r="Q266" s="505"/>
      <c r="R266" s="505"/>
      <c r="S266" s="505"/>
      <c r="T266" s="505"/>
      <c r="U266" s="505"/>
      <c r="V266" s="505"/>
      <c r="W266" s="505"/>
      <c r="X266" s="505"/>
      <c r="Y266" s="505"/>
      <c r="Z266" s="505"/>
      <c r="AA266" s="505"/>
      <c r="AB266" s="505"/>
      <c r="AC266" s="505"/>
      <c r="AD266" s="505"/>
      <c r="AE266" s="505"/>
      <c r="AF266" s="505"/>
      <c r="AG266" s="505"/>
      <c r="AH266" s="505"/>
      <c r="AI266" s="505"/>
      <c r="AJ266" s="505"/>
      <c r="AK266" s="505"/>
      <c r="AL266" s="505"/>
      <c r="AM266" s="505"/>
      <c r="AN266" s="505"/>
      <c r="AO266" s="505"/>
      <c r="AP266" s="505"/>
      <c r="AQ266" s="505"/>
      <c r="AR266" s="505"/>
      <c r="AS266" s="505"/>
      <c r="AT266" s="505"/>
      <c r="AU266" s="505"/>
      <c r="AV266" s="505"/>
      <c r="AW266" s="505"/>
      <c r="AX266" s="505"/>
      <c r="AY266" s="505"/>
      <c r="AZ266" s="505"/>
      <c r="BA266" s="505"/>
      <c r="BB266" s="505"/>
      <c r="BC266" s="505"/>
      <c r="BD266" s="505"/>
    </row>
    <row r="267" spans="1:56" ht="9.9499999999999993" customHeight="1">
      <c r="A267" s="505"/>
      <c r="B267" s="505"/>
      <c r="C267" s="505"/>
      <c r="D267" s="505"/>
      <c r="E267" s="505"/>
      <c r="F267" s="505"/>
      <c r="G267" s="505"/>
      <c r="H267" s="505"/>
      <c r="I267" s="505"/>
      <c r="J267" s="505"/>
      <c r="K267" s="505"/>
      <c r="L267" s="505"/>
      <c r="M267" s="505"/>
      <c r="N267" s="505"/>
      <c r="O267" s="505"/>
      <c r="P267" s="505"/>
      <c r="Q267" s="505"/>
      <c r="R267" s="505"/>
      <c r="S267" s="505"/>
      <c r="T267" s="505"/>
      <c r="U267" s="505"/>
      <c r="V267" s="505"/>
      <c r="W267" s="505"/>
      <c r="X267" s="505"/>
      <c r="Y267" s="505"/>
      <c r="Z267" s="505"/>
      <c r="AA267" s="505"/>
      <c r="AB267" s="505"/>
      <c r="AC267" s="505"/>
      <c r="AD267" s="505"/>
      <c r="AE267" s="505"/>
      <c r="AF267" s="505"/>
      <c r="AG267" s="505"/>
      <c r="AH267" s="505"/>
      <c r="AI267" s="505"/>
      <c r="AJ267" s="505"/>
      <c r="AK267" s="505"/>
      <c r="AL267" s="505"/>
      <c r="AM267" s="505"/>
      <c r="AN267" s="505"/>
      <c r="AO267" s="505"/>
      <c r="AP267" s="505"/>
      <c r="AQ267" s="505"/>
      <c r="AR267" s="505"/>
      <c r="AS267" s="505"/>
      <c r="AT267" s="505"/>
      <c r="AU267" s="505"/>
      <c r="AV267" s="505"/>
      <c r="AW267" s="505"/>
      <c r="AX267" s="505"/>
      <c r="AY267" s="505"/>
      <c r="AZ267" s="505"/>
      <c r="BA267" s="505"/>
      <c r="BB267" s="505"/>
      <c r="BC267" s="505"/>
      <c r="BD267" s="505"/>
    </row>
    <row r="268" spans="1:56" ht="9.9499999999999993" customHeight="1">
      <c r="A268" s="505"/>
      <c r="B268" s="505"/>
      <c r="C268" s="505"/>
      <c r="D268" s="505"/>
      <c r="E268" s="505"/>
      <c r="F268" s="505"/>
      <c r="G268" s="505"/>
      <c r="H268" s="505"/>
      <c r="I268" s="505"/>
      <c r="J268" s="505"/>
      <c r="K268" s="505"/>
      <c r="L268" s="505"/>
      <c r="M268" s="505"/>
      <c r="N268" s="505"/>
      <c r="O268" s="505"/>
      <c r="P268" s="505"/>
      <c r="Q268" s="505"/>
      <c r="R268" s="505"/>
      <c r="S268" s="505"/>
      <c r="T268" s="505"/>
      <c r="U268" s="505"/>
      <c r="V268" s="505"/>
      <c r="W268" s="505"/>
      <c r="X268" s="505"/>
      <c r="Y268" s="505"/>
      <c r="Z268" s="505"/>
      <c r="AA268" s="505"/>
      <c r="AB268" s="505"/>
      <c r="AC268" s="505"/>
      <c r="AD268" s="505"/>
      <c r="AE268" s="505"/>
      <c r="AF268" s="505"/>
      <c r="AG268" s="505"/>
      <c r="AH268" s="505"/>
      <c r="AI268" s="505"/>
      <c r="AJ268" s="505"/>
      <c r="AK268" s="505"/>
      <c r="AL268" s="505"/>
      <c r="AM268" s="505"/>
      <c r="AN268" s="505"/>
      <c r="AO268" s="505"/>
      <c r="AP268" s="505"/>
      <c r="AQ268" s="505"/>
      <c r="AR268" s="505"/>
      <c r="AS268" s="505"/>
      <c r="AT268" s="505"/>
      <c r="AU268" s="505"/>
      <c r="AV268" s="505"/>
      <c r="AW268" s="505"/>
      <c r="AX268" s="505"/>
      <c r="AY268" s="505"/>
      <c r="AZ268" s="505"/>
      <c r="BA268" s="505"/>
      <c r="BB268" s="505"/>
      <c r="BC268" s="505"/>
      <c r="BD268" s="505"/>
    </row>
    <row r="269" spans="1:56" ht="9.9499999999999993" customHeight="1">
      <c r="A269" s="505"/>
      <c r="B269" s="505"/>
      <c r="C269" s="505"/>
      <c r="D269" s="505"/>
      <c r="E269" s="505"/>
      <c r="F269" s="505"/>
      <c r="G269" s="505"/>
      <c r="H269" s="505"/>
      <c r="I269" s="505"/>
      <c r="J269" s="505"/>
      <c r="K269" s="505"/>
      <c r="L269" s="505"/>
      <c r="M269" s="505"/>
      <c r="N269" s="505"/>
      <c r="O269" s="505"/>
      <c r="P269" s="505"/>
      <c r="Q269" s="505"/>
      <c r="R269" s="505"/>
      <c r="S269" s="505"/>
      <c r="T269" s="505"/>
      <c r="U269" s="505"/>
      <c r="V269" s="505"/>
      <c r="W269" s="505"/>
      <c r="X269" s="505"/>
      <c r="Y269" s="505"/>
      <c r="Z269" s="505"/>
      <c r="AA269" s="505"/>
      <c r="AB269" s="505"/>
      <c r="AC269" s="505"/>
      <c r="AD269" s="505"/>
      <c r="AE269" s="505"/>
      <c r="AF269" s="505"/>
      <c r="AG269" s="505"/>
      <c r="AH269" s="505"/>
      <c r="AI269" s="505"/>
      <c r="AJ269" s="505"/>
      <c r="AK269" s="505"/>
      <c r="AL269" s="505"/>
      <c r="AM269" s="505"/>
      <c r="AN269" s="505"/>
      <c r="AO269" s="505"/>
      <c r="AP269" s="505"/>
      <c r="AQ269" s="505"/>
      <c r="AR269" s="505"/>
      <c r="AS269" s="505"/>
      <c r="AT269" s="505"/>
      <c r="AU269" s="505"/>
      <c r="AV269" s="505"/>
      <c r="AW269" s="505"/>
      <c r="AX269" s="505"/>
      <c r="AY269" s="505"/>
      <c r="AZ269" s="505"/>
      <c r="BA269" s="505"/>
      <c r="BB269" s="505"/>
      <c r="BC269" s="505"/>
      <c r="BD269" s="505"/>
    </row>
    <row r="270" spans="1:56" ht="9.9499999999999993" customHeight="1">
      <c r="A270" s="505"/>
      <c r="B270" s="505"/>
      <c r="C270" s="505"/>
      <c r="D270" s="505"/>
      <c r="E270" s="505"/>
      <c r="F270" s="505"/>
      <c r="G270" s="505"/>
      <c r="H270" s="505"/>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row>
    <row r="271" spans="1:56" ht="9.9499999999999993" customHeight="1">
      <c r="A271" s="505"/>
      <c r="B271" s="505"/>
      <c r="C271" s="505"/>
      <c r="D271" s="505"/>
      <c r="E271" s="505"/>
      <c r="F271" s="505"/>
      <c r="G271" s="505"/>
      <c r="H271" s="505"/>
      <c r="I271" s="505"/>
      <c r="J271" s="505"/>
      <c r="K271" s="505"/>
      <c r="L271" s="505"/>
      <c r="M271" s="505"/>
      <c r="N271" s="505"/>
      <c r="O271" s="505"/>
      <c r="P271" s="505"/>
      <c r="Q271" s="505"/>
      <c r="R271" s="505"/>
      <c r="S271" s="505"/>
      <c r="T271" s="505"/>
      <c r="U271" s="505"/>
      <c r="V271" s="505"/>
      <c r="W271" s="505"/>
      <c r="X271" s="505"/>
      <c r="Y271" s="505"/>
      <c r="Z271" s="505"/>
      <c r="AA271" s="505"/>
      <c r="AB271" s="505"/>
      <c r="AC271" s="505"/>
      <c r="AD271" s="505"/>
      <c r="AE271" s="505"/>
      <c r="AF271" s="505"/>
      <c r="AG271" s="505"/>
      <c r="AH271" s="505"/>
      <c r="AI271" s="505"/>
      <c r="AJ271" s="505"/>
      <c r="AK271" s="505"/>
      <c r="AL271" s="505"/>
      <c r="AM271" s="505"/>
      <c r="AN271" s="505"/>
      <c r="AO271" s="505"/>
      <c r="AP271" s="505"/>
      <c r="AQ271" s="505"/>
      <c r="AR271" s="505"/>
      <c r="AS271" s="505"/>
      <c r="AT271" s="505"/>
      <c r="AU271" s="505"/>
      <c r="AV271" s="505"/>
      <c r="AW271" s="505"/>
      <c r="AX271" s="505"/>
      <c r="AY271" s="505"/>
      <c r="AZ271" s="505"/>
      <c r="BA271" s="505"/>
      <c r="BB271" s="505"/>
      <c r="BC271" s="505"/>
      <c r="BD271" s="505"/>
    </row>
    <row r="272" spans="1:56" ht="9.9499999999999993" customHeight="1">
      <c r="A272" s="505"/>
      <c r="B272" s="505"/>
      <c r="C272" s="505"/>
      <c r="D272" s="505"/>
      <c r="E272" s="505"/>
      <c r="F272" s="505"/>
      <c r="G272" s="505"/>
      <c r="H272" s="505"/>
      <c r="I272" s="505"/>
      <c r="J272" s="505"/>
      <c r="K272" s="505"/>
      <c r="L272" s="505"/>
      <c r="M272" s="505"/>
      <c r="N272" s="505"/>
      <c r="O272" s="505"/>
      <c r="P272" s="505"/>
      <c r="Q272" s="505"/>
      <c r="R272" s="505"/>
      <c r="S272" s="505"/>
      <c r="T272" s="505"/>
      <c r="U272" s="505"/>
      <c r="V272" s="505"/>
      <c r="W272" s="505"/>
      <c r="X272" s="505"/>
      <c r="Y272" s="505"/>
      <c r="Z272" s="505"/>
      <c r="AA272" s="505"/>
      <c r="AB272" s="505"/>
      <c r="AC272" s="505"/>
      <c r="AD272" s="505"/>
      <c r="AE272" s="505"/>
      <c r="AF272" s="505"/>
      <c r="AG272" s="505"/>
      <c r="AH272" s="505"/>
      <c r="AI272" s="505"/>
      <c r="AJ272" s="505"/>
      <c r="AK272" s="505"/>
      <c r="AL272" s="505"/>
      <c r="AM272" s="505"/>
      <c r="AN272" s="505"/>
      <c r="AO272" s="505"/>
      <c r="AP272" s="505"/>
      <c r="AQ272" s="505"/>
      <c r="AR272" s="505"/>
      <c r="AS272" s="505"/>
      <c r="AT272" s="505"/>
      <c r="AU272" s="505"/>
      <c r="AV272" s="505"/>
      <c r="AW272" s="505"/>
      <c r="AX272" s="505"/>
      <c r="AY272" s="505"/>
      <c r="AZ272" s="505"/>
      <c r="BA272" s="505"/>
      <c r="BB272" s="505"/>
      <c r="BC272" s="505"/>
      <c r="BD272" s="505"/>
    </row>
    <row r="273" spans="1:56" ht="9.9499999999999993" customHeight="1">
      <c r="A273" s="505"/>
      <c r="B273" s="505"/>
      <c r="C273" s="505"/>
      <c r="D273" s="505"/>
      <c r="E273" s="505"/>
      <c r="F273" s="505"/>
      <c r="G273" s="505"/>
      <c r="H273" s="505"/>
      <c r="I273" s="505"/>
      <c r="J273" s="505"/>
      <c r="K273" s="505"/>
      <c r="L273" s="505"/>
      <c r="M273" s="505"/>
      <c r="N273" s="505"/>
      <c r="O273" s="505"/>
      <c r="P273" s="505"/>
      <c r="Q273" s="505"/>
      <c r="R273" s="505"/>
      <c r="S273" s="505"/>
      <c r="T273" s="505"/>
      <c r="U273" s="505"/>
      <c r="V273" s="505"/>
      <c r="W273" s="505"/>
      <c r="X273" s="505"/>
      <c r="Y273" s="505"/>
      <c r="Z273" s="505"/>
      <c r="AA273" s="505"/>
      <c r="AB273" s="505"/>
      <c r="AC273" s="505"/>
      <c r="AD273" s="505"/>
      <c r="AE273" s="505"/>
      <c r="AF273" s="505"/>
      <c r="AG273" s="505"/>
      <c r="AH273" s="505"/>
      <c r="AI273" s="505"/>
      <c r="AJ273" s="505"/>
      <c r="AK273" s="505"/>
      <c r="AL273" s="505"/>
      <c r="AM273" s="505"/>
      <c r="AN273" s="505"/>
      <c r="AO273" s="505"/>
      <c r="AP273" s="505"/>
      <c r="AQ273" s="505"/>
      <c r="AR273" s="505"/>
      <c r="AS273" s="505"/>
      <c r="AT273" s="505"/>
      <c r="AU273" s="505"/>
      <c r="AV273" s="505"/>
      <c r="AW273" s="505"/>
      <c r="AX273" s="505"/>
      <c r="AY273" s="505"/>
      <c r="AZ273" s="505"/>
      <c r="BA273" s="505"/>
      <c r="BB273" s="505"/>
      <c r="BC273" s="505"/>
      <c r="BD273" s="505"/>
    </row>
    <row r="274" spans="1:56" ht="9.9499999999999993" customHeight="1">
      <c r="A274" s="505"/>
      <c r="B274" s="505"/>
      <c r="C274" s="505"/>
      <c r="D274" s="505"/>
      <c r="E274" s="505"/>
      <c r="F274" s="505"/>
      <c r="G274" s="505"/>
      <c r="H274" s="505"/>
      <c r="I274" s="505"/>
      <c r="J274" s="505"/>
      <c r="K274" s="505"/>
      <c r="L274" s="505"/>
      <c r="M274" s="505"/>
      <c r="N274" s="505"/>
      <c r="O274" s="505"/>
      <c r="P274" s="505"/>
      <c r="Q274" s="505"/>
      <c r="R274" s="505"/>
      <c r="S274" s="505"/>
      <c r="T274" s="505"/>
      <c r="U274" s="505"/>
      <c r="V274" s="505"/>
      <c r="W274" s="505"/>
      <c r="X274" s="505"/>
      <c r="Y274" s="505"/>
      <c r="Z274" s="505"/>
      <c r="AA274" s="505"/>
      <c r="AB274" s="505"/>
      <c r="AC274" s="505"/>
      <c r="AD274" s="505"/>
      <c r="AE274" s="505"/>
      <c r="AF274" s="505"/>
      <c r="AG274" s="505"/>
      <c r="AH274" s="505"/>
      <c r="AI274" s="505"/>
      <c r="AJ274" s="505"/>
      <c r="AK274" s="505"/>
      <c r="AL274" s="505"/>
      <c r="AM274" s="505"/>
      <c r="AN274" s="505"/>
      <c r="AO274" s="505"/>
      <c r="AP274" s="505"/>
      <c r="AQ274" s="505"/>
      <c r="AR274" s="505"/>
      <c r="AS274" s="505"/>
      <c r="AT274" s="505"/>
      <c r="AU274" s="505"/>
      <c r="AV274" s="505"/>
      <c r="AW274" s="505"/>
      <c r="AX274" s="505"/>
      <c r="AY274" s="505"/>
      <c r="AZ274" s="505"/>
      <c r="BA274" s="505"/>
      <c r="BB274" s="505"/>
      <c r="BC274" s="505"/>
      <c r="BD274" s="505"/>
    </row>
    <row r="275" spans="1:56" ht="9.9499999999999993" customHeight="1">
      <c r="A275" s="505"/>
      <c r="B275" s="505"/>
      <c r="C275" s="505"/>
      <c r="D275" s="505"/>
      <c r="E275" s="505"/>
      <c r="F275" s="505"/>
      <c r="G275" s="505"/>
      <c r="H275" s="505"/>
      <c r="I275" s="505"/>
      <c r="J275" s="505"/>
      <c r="K275" s="505"/>
      <c r="L275" s="505"/>
      <c r="M275" s="505"/>
      <c r="N275" s="505"/>
      <c r="O275" s="505"/>
      <c r="P275" s="505"/>
      <c r="Q275" s="505"/>
      <c r="R275" s="505"/>
      <c r="S275" s="505"/>
      <c r="T275" s="505"/>
      <c r="U275" s="505"/>
      <c r="V275" s="505"/>
      <c r="W275" s="505"/>
      <c r="X275" s="505"/>
      <c r="Y275" s="505"/>
      <c r="Z275" s="505"/>
      <c r="AA275" s="505"/>
      <c r="AB275" s="505"/>
      <c r="AC275" s="505"/>
      <c r="AD275" s="505"/>
      <c r="AE275" s="505"/>
      <c r="AF275" s="505"/>
      <c r="AG275" s="505"/>
      <c r="AH275" s="505"/>
      <c r="AI275" s="505"/>
      <c r="AJ275" s="505"/>
      <c r="AK275" s="505"/>
      <c r="AL275" s="505"/>
      <c r="AM275" s="505"/>
      <c r="AN275" s="505"/>
      <c r="AO275" s="505"/>
      <c r="AP275" s="505"/>
      <c r="AQ275" s="505"/>
      <c r="AR275" s="505"/>
      <c r="AS275" s="505"/>
      <c r="AT275" s="505"/>
      <c r="AU275" s="505"/>
      <c r="AV275" s="505"/>
      <c r="AW275" s="505"/>
      <c r="AX275" s="505"/>
      <c r="AY275" s="505"/>
      <c r="AZ275" s="505"/>
      <c r="BA275" s="505"/>
      <c r="BB275" s="505"/>
      <c r="BC275" s="505"/>
      <c r="BD275" s="505"/>
    </row>
    <row r="276" spans="1:56" ht="9.9499999999999993" customHeight="1">
      <c r="A276" s="505"/>
      <c r="B276" s="505"/>
      <c r="C276" s="505"/>
      <c r="D276" s="505"/>
      <c r="E276" s="505"/>
      <c r="F276" s="505"/>
      <c r="G276" s="505"/>
      <c r="H276" s="505"/>
      <c r="I276" s="505"/>
      <c r="J276" s="505"/>
      <c r="K276" s="505"/>
      <c r="L276" s="505"/>
      <c r="M276" s="505"/>
      <c r="N276" s="505"/>
      <c r="O276" s="505"/>
      <c r="P276" s="505"/>
      <c r="Q276" s="505"/>
      <c r="R276" s="505"/>
      <c r="S276" s="505"/>
      <c r="T276" s="505"/>
      <c r="U276" s="505"/>
      <c r="V276" s="505"/>
      <c r="W276" s="505"/>
      <c r="X276" s="505"/>
      <c r="Y276" s="505"/>
      <c r="Z276" s="505"/>
      <c r="AA276" s="505"/>
      <c r="AB276" s="505"/>
      <c r="AC276" s="505"/>
      <c r="AD276" s="505"/>
      <c r="AE276" s="505"/>
      <c r="AF276" s="505"/>
      <c r="AG276" s="505"/>
      <c r="AH276" s="505"/>
      <c r="AI276" s="505"/>
      <c r="AJ276" s="505"/>
      <c r="AK276" s="505"/>
      <c r="AL276" s="505"/>
      <c r="AM276" s="505"/>
      <c r="AN276" s="505"/>
      <c r="AO276" s="505"/>
      <c r="AP276" s="505"/>
      <c r="AQ276" s="505"/>
      <c r="AR276" s="505"/>
      <c r="AS276" s="505"/>
      <c r="AT276" s="505"/>
      <c r="AU276" s="505"/>
      <c r="AV276" s="505"/>
      <c r="AW276" s="505"/>
      <c r="AX276" s="505"/>
      <c r="AY276" s="505"/>
      <c r="AZ276" s="505"/>
      <c r="BA276" s="505"/>
      <c r="BB276" s="505"/>
      <c r="BC276" s="505"/>
      <c r="BD276" s="505"/>
    </row>
    <row r="277" spans="1:56" ht="9.9499999999999993" customHeight="1">
      <c r="A277" s="505"/>
      <c r="B277" s="505"/>
      <c r="C277" s="505"/>
      <c r="D277" s="505"/>
      <c r="E277" s="505"/>
      <c r="F277" s="505"/>
      <c r="G277" s="505"/>
      <c r="H277" s="505"/>
      <c r="I277" s="505"/>
      <c r="J277" s="505"/>
      <c r="K277" s="505"/>
      <c r="L277" s="505"/>
      <c r="M277" s="505"/>
      <c r="N277" s="505"/>
      <c r="O277" s="505"/>
      <c r="P277" s="505"/>
      <c r="Q277" s="505"/>
      <c r="R277" s="505"/>
      <c r="S277" s="505"/>
      <c r="T277" s="505"/>
      <c r="U277" s="505"/>
      <c r="V277" s="505"/>
      <c r="W277" s="505"/>
      <c r="X277" s="505"/>
      <c r="Y277" s="505"/>
      <c r="Z277" s="505"/>
      <c r="AA277" s="505"/>
      <c r="AB277" s="505"/>
      <c r="AC277" s="505"/>
      <c r="AD277" s="505"/>
      <c r="AE277" s="505"/>
      <c r="AF277" s="505"/>
      <c r="AG277" s="505"/>
      <c r="AH277" s="505"/>
      <c r="AI277" s="505"/>
      <c r="AJ277" s="505"/>
      <c r="AK277" s="505"/>
      <c r="AL277" s="505"/>
      <c r="AM277" s="505"/>
      <c r="AN277" s="505"/>
      <c r="AO277" s="505"/>
      <c r="AP277" s="505"/>
      <c r="AQ277" s="505"/>
      <c r="AR277" s="505"/>
      <c r="AS277" s="505"/>
      <c r="AT277" s="505"/>
      <c r="AU277" s="505"/>
      <c r="AV277" s="505"/>
      <c r="AW277" s="505"/>
      <c r="AX277" s="505"/>
      <c r="AY277" s="505"/>
      <c r="AZ277" s="505"/>
      <c r="BA277" s="505"/>
      <c r="BB277" s="505"/>
      <c r="BC277" s="505"/>
      <c r="BD277" s="505"/>
    </row>
    <row r="278" spans="1:56" ht="9.9499999999999993" customHeight="1">
      <c r="A278" s="505"/>
      <c r="B278" s="505"/>
      <c r="C278" s="505"/>
      <c r="D278" s="505"/>
      <c r="E278" s="505"/>
      <c r="F278" s="505"/>
      <c r="G278" s="505"/>
      <c r="H278" s="505"/>
      <c r="I278" s="505"/>
      <c r="J278" s="505"/>
      <c r="K278" s="505"/>
      <c r="L278" s="505"/>
      <c r="M278" s="505"/>
      <c r="N278" s="505"/>
      <c r="O278" s="505"/>
      <c r="P278" s="505"/>
      <c r="Q278" s="505"/>
      <c r="R278" s="505"/>
      <c r="S278" s="505"/>
      <c r="T278" s="505"/>
      <c r="U278" s="505"/>
      <c r="V278" s="505"/>
      <c r="W278" s="505"/>
      <c r="X278" s="505"/>
      <c r="Y278" s="505"/>
      <c r="Z278" s="505"/>
      <c r="AA278" s="505"/>
      <c r="AB278" s="505"/>
      <c r="AC278" s="505"/>
      <c r="AD278" s="505"/>
      <c r="AE278" s="505"/>
      <c r="AF278" s="505"/>
      <c r="AG278" s="505"/>
      <c r="AH278" s="505"/>
      <c r="AI278" s="505"/>
      <c r="AJ278" s="505"/>
      <c r="AK278" s="505"/>
      <c r="AL278" s="505"/>
      <c r="AM278" s="505"/>
      <c r="AN278" s="505"/>
      <c r="AO278" s="505"/>
      <c r="AP278" s="505"/>
      <c r="AQ278" s="505"/>
      <c r="AR278" s="505"/>
      <c r="AS278" s="505"/>
      <c r="AT278" s="505"/>
      <c r="AU278" s="505"/>
      <c r="AV278" s="505"/>
      <c r="AW278" s="505"/>
      <c r="AX278" s="505"/>
      <c r="AY278" s="505"/>
      <c r="AZ278" s="505"/>
      <c r="BA278" s="505"/>
      <c r="BB278" s="505"/>
      <c r="BC278" s="505"/>
      <c r="BD278" s="505"/>
    </row>
    <row r="279" spans="1:56" ht="9.9499999999999993" customHeight="1">
      <c r="A279" s="505"/>
      <c r="B279" s="505"/>
      <c r="C279" s="505"/>
      <c r="D279" s="505"/>
      <c r="E279" s="505"/>
      <c r="F279" s="505"/>
      <c r="G279" s="505"/>
      <c r="H279" s="505"/>
      <c r="I279" s="505"/>
      <c r="J279" s="505"/>
      <c r="K279" s="505"/>
      <c r="L279" s="505"/>
      <c r="M279" s="505"/>
      <c r="N279" s="505"/>
      <c r="O279" s="505"/>
      <c r="P279" s="505"/>
      <c r="Q279" s="505"/>
      <c r="R279" s="505"/>
      <c r="S279" s="505"/>
      <c r="T279" s="505"/>
      <c r="U279" s="505"/>
      <c r="V279" s="505"/>
      <c r="W279" s="505"/>
      <c r="X279" s="505"/>
      <c r="Y279" s="505"/>
      <c r="Z279" s="505"/>
      <c r="AA279" s="505"/>
      <c r="AB279" s="505"/>
      <c r="AC279" s="505"/>
      <c r="AD279" s="505"/>
      <c r="AE279" s="505"/>
      <c r="AF279" s="505"/>
      <c r="AG279" s="505"/>
      <c r="AH279" s="505"/>
      <c r="AI279" s="505"/>
      <c r="AJ279" s="505"/>
      <c r="AK279" s="505"/>
      <c r="AL279" s="505"/>
      <c r="AM279" s="505"/>
      <c r="AN279" s="505"/>
      <c r="AO279" s="505"/>
      <c r="AP279" s="505"/>
      <c r="AQ279" s="505"/>
      <c r="AR279" s="505"/>
      <c r="AS279" s="505"/>
      <c r="AT279" s="505"/>
      <c r="AU279" s="505"/>
      <c r="AV279" s="505"/>
      <c r="AW279" s="505"/>
      <c r="AX279" s="505"/>
      <c r="AY279" s="505"/>
      <c r="AZ279" s="505"/>
      <c r="BA279" s="505"/>
      <c r="BB279" s="505"/>
      <c r="BC279" s="505"/>
      <c r="BD279" s="505"/>
    </row>
    <row r="280" spans="1:56" ht="9.9499999999999993" customHeight="1">
      <c r="A280" s="505"/>
      <c r="B280" s="505"/>
      <c r="C280" s="505"/>
      <c r="D280" s="505"/>
      <c r="E280" s="505"/>
      <c r="F280" s="505"/>
      <c r="G280" s="505"/>
      <c r="H280" s="505"/>
      <c r="I280" s="505"/>
      <c r="J280" s="505"/>
      <c r="K280" s="505"/>
      <c r="L280" s="505"/>
      <c r="M280" s="505"/>
      <c r="N280" s="505"/>
      <c r="O280" s="505"/>
      <c r="P280" s="505"/>
      <c r="Q280" s="505"/>
      <c r="R280" s="505"/>
      <c r="S280" s="505"/>
      <c r="T280" s="505"/>
      <c r="U280" s="505"/>
      <c r="V280" s="505"/>
      <c r="W280" s="505"/>
      <c r="X280" s="505"/>
      <c r="Y280" s="505"/>
      <c r="Z280" s="505"/>
      <c r="AA280" s="505"/>
      <c r="AB280" s="505"/>
      <c r="AC280" s="505"/>
      <c r="AD280" s="505"/>
      <c r="AE280" s="505"/>
      <c r="AF280" s="505"/>
      <c r="AG280" s="505"/>
      <c r="AH280" s="505"/>
      <c r="AI280" s="505"/>
      <c r="AJ280" s="505"/>
      <c r="AK280" s="505"/>
      <c r="AL280" s="505"/>
      <c r="AM280" s="505"/>
      <c r="AN280" s="505"/>
      <c r="AO280" s="505"/>
      <c r="AP280" s="505"/>
      <c r="AQ280" s="505"/>
      <c r="AR280" s="505"/>
      <c r="AS280" s="505"/>
      <c r="AT280" s="505"/>
      <c r="AU280" s="505"/>
      <c r="AV280" s="505"/>
      <c r="AW280" s="505"/>
      <c r="AX280" s="505"/>
      <c r="AY280" s="505"/>
      <c r="AZ280" s="505"/>
      <c r="BA280" s="505"/>
      <c r="BB280" s="505"/>
      <c r="BC280" s="505"/>
      <c r="BD280" s="505"/>
    </row>
    <row r="281" spans="1:56" ht="9.9499999999999993" customHeight="1">
      <c r="A281" s="505"/>
      <c r="B281" s="505"/>
      <c r="C281" s="505"/>
      <c r="D281" s="505"/>
      <c r="E281" s="505"/>
      <c r="F281" s="505"/>
      <c r="G281" s="505"/>
      <c r="H281" s="505"/>
      <c r="I281" s="505"/>
      <c r="J281" s="505"/>
      <c r="K281" s="505"/>
      <c r="L281" s="505"/>
      <c r="M281" s="505"/>
      <c r="N281" s="505"/>
      <c r="O281" s="505"/>
      <c r="P281" s="505"/>
      <c r="Q281" s="505"/>
      <c r="R281" s="505"/>
      <c r="S281" s="505"/>
      <c r="T281" s="505"/>
      <c r="U281" s="505"/>
      <c r="V281" s="505"/>
      <c r="W281" s="505"/>
      <c r="X281" s="505"/>
      <c r="Y281" s="505"/>
      <c r="Z281" s="505"/>
      <c r="AA281" s="505"/>
      <c r="AB281" s="505"/>
      <c r="AC281" s="505"/>
      <c r="AD281" s="505"/>
      <c r="AE281" s="505"/>
      <c r="AF281" s="505"/>
      <c r="AG281" s="505"/>
      <c r="AH281" s="505"/>
      <c r="AI281" s="505"/>
      <c r="AJ281" s="505"/>
      <c r="AK281" s="505"/>
      <c r="AL281" s="505"/>
      <c r="AM281" s="505"/>
      <c r="AN281" s="505"/>
      <c r="AO281" s="505"/>
      <c r="AP281" s="505"/>
      <c r="AQ281" s="505"/>
      <c r="AR281" s="505"/>
      <c r="AS281" s="505"/>
      <c r="AT281" s="505"/>
      <c r="AU281" s="505"/>
      <c r="AV281" s="505"/>
      <c r="AW281" s="505"/>
      <c r="AX281" s="505"/>
      <c r="AY281" s="505"/>
      <c r="AZ281" s="505"/>
      <c r="BA281" s="505"/>
      <c r="BB281" s="505"/>
      <c r="BC281" s="505"/>
      <c r="BD281" s="505"/>
    </row>
    <row r="282" spans="1:56" ht="9.9499999999999993" customHeight="1">
      <c r="A282" s="505"/>
      <c r="B282" s="505"/>
      <c r="C282" s="505"/>
      <c r="D282" s="505"/>
      <c r="E282" s="505"/>
      <c r="F282" s="505"/>
      <c r="G282" s="505"/>
      <c r="H282" s="505"/>
      <c r="I282" s="505"/>
      <c r="J282" s="505"/>
      <c r="K282" s="505"/>
      <c r="L282" s="505"/>
      <c r="M282" s="505"/>
      <c r="N282" s="505"/>
      <c r="O282" s="505"/>
      <c r="P282" s="505"/>
      <c r="Q282" s="505"/>
      <c r="R282" s="505"/>
      <c r="S282" s="505"/>
      <c r="T282" s="505"/>
      <c r="U282" s="505"/>
      <c r="V282" s="505"/>
      <c r="W282" s="505"/>
      <c r="X282" s="505"/>
      <c r="Y282" s="505"/>
      <c r="Z282" s="505"/>
      <c r="AA282" s="505"/>
      <c r="AB282" s="505"/>
      <c r="AC282" s="505"/>
      <c r="AD282" s="505"/>
      <c r="AE282" s="505"/>
      <c r="AF282" s="505"/>
      <c r="AG282" s="505"/>
      <c r="AH282" s="505"/>
      <c r="AI282" s="505"/>
      <c r="AJ282" s="505"/>
      <c r="AK282" s="505"/>
      <c r="AL282" s="505"/>
      <c r="AM282" s="505"/>
      <c r="AN282" s="505"/>
      <c r="AO282" s="505"/>
      <c r="AP282" s="505"/>
      <c r="AQ282" s="505"/>
      <c r="AR282" s="505"/>
      <c r="AS282" s="505"/>
      <c r="AT282" s="505"/>
      <c r="AU282" s="505"/>
      <c r="AV282" s="505"/>
      <c r="AW282" s="505"/>
      <c r="AX282" s="505"/>
      <c r="AY282" s="505"/>
      <c r="AZ282" s="505"/>
      <c r="BA282" s="505"/>
      <c r="BB282" s="505"/>
      <c r="BC282" s="505"/>
      <c r="BD282" s="505"/>
    </row>
    <row r="283" spans="1:56" ht="9.9499999999999993" customHeight="1">
      <c r="A283" s="505"/>
      <c r="B283" s="505"/>
      <c r="C283" s="505"/>
      <c r="D283" s="505"/>
      <c r="E283" s="505"/>
      <c r="F283" s="505"/>
      <c r="G283" s="505"/>
      <c r="H283" s="505"/>
      <c r="I283" s="505"/>
      <c r="J283" s="505"/>
      <c r="K283" s="505"/>
      <c r="L283" s="505"/>
      <c r="M283" s="505"/>
      <c r="N283" s="505"/>
      <c r="O283" s="505"/>
      <c r="P283" s="505"/>
      <c r="Q283" s="505"/>
      <c r="R283" s="505"/>
      <c r="S283" s="505"/>
      <c r="T283" s="505"/>
      <c r="U283" s="505"/>
      <c r="V283" s="505"/>
      <c r="W283" s="505"/>
      <c r="X283" s="505"/>
      <c r="Y283" s="505"/>
      <c r="Z283" s="505"/>
      <c r="AA283" s="505"/>
      <c r="AB283" s="505"/>
      <c r="AC283" s="505"/>
      <c r="AD283" s="505"/>
      <c r="AE283" s="505"/>
      <c r="AF283" s="505"/>
      <c r="AG283" s="505"/>
      <c r="AH283" s="505"/>
      <c r="AI283" s="505"/>
      <c r="AJ283" s="505"/>
      <c r="AK283" s="505"/>
      <c r="AL283" s="505"/>
      <c r="AM283" s="505"/>
      <c r="AN283" s="505"/>
      <c r="AO283" s="505"/>
      <c r="AP283" s="505"/>
      <c r="AQ283" s="505"/>
      <c r="AR283" s="505"/>
      <c r="AS283" s="505"/>
      <c r="AT283" s="505"/>
      <c r="AU283" s="505"/>
      <c r="AV283" s="505"/>
      <c r="AW283" s="505"/>
      <c r="AX283" s="505"/>
      <c r="AY283" s="505"/>
      <c r="AZ283" s="505"/>
      <c r="BA283" s="505"/>
      <c r="BB283" s="505"/>
      <c r="BC283" s="505"/>
      <c r="BD283" s="505"/>
    </row>
    <row r="284" spans="1:56" ht="9.9499999999999993" customHeight="1">
      <c r="A284" s="505"/>
      <c r="B284" s="505"/>
      <c r="C284" s="505"/>
      <c r="D284" s="505"/>
      <c r="E284" s="505"/>
      <c r="F284" s="505"/>
      <c r="G284" s="505"/>
      <c r="H284" s="505"/>
      <c r="I284" s="505"/>
      <c r="J284" s="505"/>
      <c r="K284" s="505"/>
      <c r="L284" s="505"/>
      <c r="M284" s="505"/>
      <c r="N284" s="505"/>
      <c r="O284" s="505"/>
      <c r="P284" s="505"/>
      <c r="Q284" s="505"/>
      <c r="R284" s="505"/>
      <c r="S284" s="505"/>
      <c r="T284" s="505"/>
      <c r="U284" s="505"/>
      <c r="V284" s="505"/>
      <c r="W284" s="505"/>
      <c r="X284" s="505"/>
      <c r="Y284" s="505"/>
      <c r="Z284" s="505"/>
      <c r="AA284" s="505"/>
      <c r="AB284" s="505"/>
      <c r="AC284" s="505"/>
      <c r="AD284" s="505"/>
      <c r="AE284" s="505"/>
      <c r="AF284" s="505"/>
      <c r="AG284" s="505"/>
      <c r="AH284" s="505"/>
      <c r="AI284" s="505"/>
      <c r="AJ284" s="505"/>
      <c r="AK284" s="505"/>
      <c r="AL284" s="505"/>
      <c r="AM284" s="505"/>
      <c r="AN284" s="505"/>
      <c r="AO284" s="505"/>
      <c r="AP284" s="505"/>
      <c r="AQ284" s="505"/>
      <c r="AR284" s="505"/>
      <c r="AS284" s="505"/>
      <c r="AT284" s="505"/>
      <c r="AU284" s="505"/>
      <c r="AV284" s="505"/>
      <c r="AW284" s="505"/>
      <c r="AX284" s="505"/>
      <c r="AY284" s="505"/>
      <c r="AZ284" s="505"/>
      <c r="BA284" s="505"/>
      <c r="BB284" s="505"/>
      <c r="BC284" s="505"/>
      <c r="BD284" s="505"/>
    </row>
    <row r="285" spans="1:56" ht="9.9499999999999993" customHeight="1">
      <c r="A285" s="505"/>
      <c r="B285" s="505"/>
      <c r="C285" s="505"/>
      <c r="D285" s="505"/>
      <c r="E285" s="505"/>
      <c r="F285" s="505"/>
      <c r="G285" s="505"/>
      <c r="H285" s="505"/>
      <c r="I285" s="505"/>
      <c r="J285" s="505"/>
      <c r="K285" s="505"/>
      <c r="L285" s="505"/>
      <c r="M285" s="505"/>
      <c r="N285" s="505"/>
      <c r="O285" s="505"/>
      <c r="P285" s="505"/>
      <c r="Q285" s="505"/>
      <c r="R285" s="505"/>
      <c r="S285" s="505"/>
      <c r="T285" s="505"/>
      <c r="U285" s="505"/>
      <c r="V285" s="505"/>
      <c r="W285" s="505"/>
      <c r="X285" s="505"/>
      <c r="Y285" s="505"/>
      <c r="Z285" s="505"/>
      <c r="AA285" s="505"/>
      <c r="AB285" s="505"/>
      <c r="AC285" s="505"/>
      <c r="AD285" s="505"/>
      <c r="AE285" s="505"/>
      <c r="AF285" s="505"/>
      <c r="AG285" s="505"/>
      <c r="AH285" s="505"/>
      <c r="AI285" s="505"/>
      <c r="AJ285" s="505"/>
      <c r="AK285" s="505"/>
      <c r="AL285" s="505"/>
      <c r="AM285" s="505"/>
      <c r="AN285" s="505"/>
      <c r="AO285" s="505"/>
      <c r="AP285" s="505"/>
      <c r="AQ285" s="505"/>
      <c r="AR285" s="505"/>
      <c r="AS285" s="505"/>
      <c r="AT285" s="505"/>
      <c r="AU285" s="505"/>
      <c r="AV285" s="505"/>
      <c r="AW285" s="505"/>
      <c r="AX285" s="505"/>
      <c r="AY285" s="505"/>
      <c r="AZ285" s="505"/>
      <c r="BA285" s="505"/>
      <c r="BB285" s="505"/>
      <c r="BC285" s="505"/>
      <c r="BD285" s="505"/>
    </row>
    <row r="286" spans="1:56" ht="9.9499999999999993" customHeight="1">
      <c r="A286" s="505"/>
      <c r="B286" s="505"/>
      <c r="C286" s="505"/>
      <c r="D286" s="505"/>
      <c r="E286" s="505"/>
      <c r="F286" s="505"/>
      <c r="G286" s="505"/>
      <c r="H286" s="505"/>
      <c r="I286" s="505"/>
      <c r="J286" s="505"/>
      <c r="K286" s="505"/>
      <c r="L286" s="505"/>
      <c r="M286" s="505"/>
      <c r="N286" s="505"/>
      <c r="O286" s="505"/>
      <c r="P286" s="505"/>
      <c r="Q286" s="505"/>
      <c r="R286" s="505"/>
      <c r="S286" s="505"/>
      <c r="T286" s="505"/>
      <c r="U286" s="505"/>
      <c r="V286" s="505"/>
      <c r="W286" s="505"/>
      <c r="X286" s="505"/>
      <c r="Y286" s="505"/>
      <c r="Z286" s="505"/>
      <c r="AA286" s="505"/>
      <c r="AB286" s="505"/>
      <c r="AC286" s="505"/>
      <c r="AD286" s="505"/>
      <c r="AE286" s="505"/>
      <c r="AF286" s="505"/>
      <c r="AG286" s="505"/>
      <c r="AH286" s="505"/>
      <c r="AI286" s="505"/>
      <c r="AJ286" s="505"/>
      <c r="AK286" s="505"/>
      <c r="AL286" s="505"/>
      <c r="AM286" s="505"/>
      <c r="AN286" s="505"/>
      <c r="AO286" s="505"/>
      <c r="AP286" s="505"/>
      <c r="AQ286" s="505"/>
      <c r="AR286" s="505"/>
      <c r="AS286" s="505"/>
      <c r="AT286" s="505"/>
      <c r="AU286" s="505"/>
      <c r="AV286" s="505"/>
      <c r="AW286" s="505"/>
      <c r="AX286" s="505"/>
      <c r="AY286" s="505"/>
      <c r="AZ286" s="505"/>
      <c r="BA286" s="505"/>
      <c r="BB286" s="505"/>
      <c r="BC286" s="505"/>
      <c r="BD286" s="505"/>
    </row>
    <row r="287" spans="1:56" ht="9.9499999999999993" customHeight="1">
      <c r="A287" s="505"/>
      <c r="B287" s="505"/>
      <c r="C287" s="505"/>
      <c r="D287" s="505"/>
      <c r="E287" s="505"/>
      <c r="F287" s="505"/>
      <c r="G287" s="505"/>
      <c r="H287" s="505"/>
      <c r="I287" s="505"/>
      <c r="J287" s="505"/>
      <c r="K287" s="505"/>
      <c r="L287" s="505"/>
      <c r="M287" s="505"/>
      <c r="N287" s="505"/>
      <c r="O287" s="505"/>
      <c r="P287" s="505"/>
      <c r="Q287" s="505"/>
      <c r="R287" s="505"/>
      <c r="S287" s="505"/>
      <c r="T287" s="505"/>
      <c r="U287" s="505"/>
      <c r="V287" s="505"/>
      <c r="W287" s="505"/>
      <c r="X287" s="505"/>
      <c r="Y287" s="505"/>
      <c r="Z287" s="505"/>
      <c r="AA287" s="505"/>
      <c r="AB287" s="505"/>
      <c r="AC287" s="505"/>
      <c r="AD287" s="505"/>
      <c r="AE287" s="505"/>
      <c r="AF287" s="505"/>
      <c r="AG287" s="505"/>
      <c r="AH287" s="505"/>
      <c r="AI287" s="505"/>
      <c r="AJ287" s="505"/>
      <c r="AK287" s="505"/>
      <c r="AL287" s="505"/>
      <c r="AM287" s="505"/>
      <c r="AN287" s="505"/>
      <c r="AO287" s="505"/>
      <c r="AP287" s="505"/>
      <c r="AQ287" s="505"/>
      <c r="AR287" s="505"/>
      <c r="AS287" s="505"/>
      <c r="AT287" s="505"/>
      <c r="AU287" s="505"/>
      <c r="AV287" s="505"/>
      <c r="AW287" s="505"/>
      <c r="AX287" s="505"/>
      <c r="AY287" s="505"/>
      <c r="AZ287" s="505"/>
      <c r="BA287" s="505"/>
      <c r="BB287" s="505"/>
      <c r="BC287" s="505"/>
      <c r="BD287" s="505"/>
    </row>
    <row r="288" spans="1:56" ht="9.9499999999999993" customHeight="1">
      <c r="A288" s="505"/>
      <c r="B288" s="505"/>
      <c r="C288" s="505"/>
      <c r="D288" s="505"/>
      <c r="E288" s="505"/>
      <c r="F288" s="505"/>
      <c r="G288" s="505"/>
      <c r="H288" s="505"/>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row>
    <row r="289" spans="1:56" ht="9.9499999999999993" customHeight="1">
      <c r="A289" s="505"/>
      <c r="B289" s="505"/>
      <c r="C289" s="505"/>
      <c r="D289" s="505"/>
      <c r="E289" s="505"/>
      <c r="F289" s="505"/>
      <c r="G289" s="505"/>
      <c r="H289" s="505"/>
      <c r="I289" s="505"/>
      <c r="J289" s="505"/>
      <c r="K289" s="505"/>
      <c r="L289" s="505"/>
      <c r="M289" s="505"/>
      <c r="N289" s="505"/>
      <c r="O289" s="505"/>
      <c r="P289" s="505"/>
      <c r="Q289" s="505"/>
      <c r="R289" s="505"/>
      <c r="S289" s="505"/>
      <c r="T289" s="505"/>
      <c r="U289" s="505"/>
      <c r="V289" s="505"/>
      <c r="W289" s="505"/>
      <c r="X289" s="505"/>
      <c r="Y289" s="505"/>
      <c r="Z289" s="505"/>
      <c r="AA289" s="505"/>
      <c r="AB289" s="505"/>
      <c r="AC289" s="505"/>
      <c r="AD289" s="505"/>
      <c r="AE289" s="505"/>
      <c r="AF289" s="505"/>
      <c r="AG289" s="505"/>
      <c r="AH289" s="505"/>
      <c r="AI289" s="505"/>
      <c r="AJ289" s="505"/>
      <c r="AK289" s="505"/>
      <c r="AL289" s="505"/>
      <c r="AM289" s="505"/>
      <c r="AN289" s="505"/>
      <c r="AO289" s="505"/>
      <c r="AP289" s="505"/>
      <c r="AQ289" s="505"/>
      <c r="AR289" s="505"/>
      <c r="AS289" s="505"/>
      <c r="AT289" s="505"/>
      <c r="AU289" s="505"/>
      <c r="AV289" s="505"/>
      <c r="AW289" s="505"/>
      <c r="AX289" s="505"/>
      <c r="AY289" s="505"/>
      <c r="AZ289" s="505"/>
      <c r="BA289" s="505"/>
      <c r="BB289" s="505"/>
      <c r="BC289" s="505"/>
      <c r="BD289" s="505"/>
    </row>
    <row r="290" spans="1:56" ht="9.9499999999999993" customHeight="1">
      <c r="A290" s="505"/>
      <c r="B290" s="505"/>
      <c r="C290" s="505"/>
      <c r="D290" s="505"/>
      <c r="E290" s="505"/>
      <c r="F290" s="505"/>
      <c r="G290" s="505"/>
      <c r="H290" s="505"/>
      <c r="I290" s="505"/>
      <c r="J290" s="505"/>
      <c r="K290" s="505"/>
      <c r="L290" s="505"/>
      <c r="M290" s="505"/>
      <c r="N290" s="505"/>
      <c r="O290" s="505"/>
      <c r="P290" s="505"/>
      <c r="Q290" s="505"/>
      <c r="R290" s="505"/>
      <c r="S290" s="505"/>
      <c r="T290" s="505"/>
      <c r="U290" s="505"/>
      <c r="V290" s="505"/>
      <c r="W290" s="505"/>
      <c r="X290" s="505"/>
      <c r="Y290" s="505"/>
      <c r="Z290" s="505"/>
      <c r="AA290" s="505"/>
      <c r="AB290" s="505"/>
      <c r="AC290" s="505"/>
      <c r="AD290" s="505"/>
      <c r="AE290" s="505"/>
      <c r="AF290" s="505"/>
      <c r="AG290" s="505"/>
      <c r="AH290" s="505"/>
      <c r="AI290" s="505"/>
      <c r="AJ290" s="505"/>
      <c r="AK290" s="505"/>
      <c r="AL290" s="505"/>
      <c r="AM290" s="505"/>
      <c r="AN290" s="505"/>
      <c r="AO290" s="505"/>
      <c r="AP290" s="505"/>
      <c r="AQ290" s="505"/>
      <c r="AR290" s="505"/>
      <c r="AS290" s="505"/>
      <c r="AT290" s="505"/>
      <c r="AU290" s="505"/>
      <c r="AV290" s="505"/>
      <c r="AW290" s="505"/>
      <c r="AX290" s="505"/>
      <c r="AY290" s="505"/>
      <c r="AZ290" s="505"/>
      <c r="BA290" s="505"/>
      <c r="BB290" s="505"/>
      <c r="BC290" s="505"/>
      <c r="BD290" s="505"/>
    </row>
    <row r="291" spans="1:56" ht="9.9499999999999993" customHeight="1">
      <c r="A291" s="505"/>
      <c r="B291" s="505"/>
      <c r="C291" s="505"/>
      <c r="D291" s="505"/>
      <c r="E291" s="505"/>
      <c r="F291" s="505"/>
      <c r="G291" s="505"/>
      <c r="H291" s="505"/>
      <c r="I291" s="505"/>
      <c r="J291" s="505"/>
      <c r="K291" s="505"/>
      <c r="L291" s="505"/>
      <c r="M291" s="505"/>
      <c r="N291" s="505"/>
      <c r="O291" s="505"/>
      <c r="P291" s="505"/>
      <c r="Q291" s="505"/>
      <c r="R291" s="505"/>
      <c r="S291" s="505"/>
      <c r="T291" s="505"/>
      <c r="U291" s="505"/>
      <c r="V291" s="505"/>
      <c r="W291" s="505"/>
      <c r="X291" s="505"/>
      <c r="Y291" s="505"/>
      <c r="Z291" s="505"/>
      <c r="AA291" s="505"/>
      <c r="AB291" s="505"/>
      <c r="AC291" s="505"/>
      <c r="AD291" s="505"/>
      <c r="AE291" s="505"/>
      <c r="AF291" s="505"/>
      <c r="AG291" s="505"/>
      <c r="AH291" s="505"/>
      <c r="AI291" s="505"/>
      <c r="AJ291" s="505"/>
      <c r="AK291" s="505"/>
      <c r="AL291" s="505"/>
      <c r="AM291" s="505"/>
      <c r="AN291" s="505"/>
      <c r="AO291" s="505"/>
      <c r="AP291" s="505"/>
      <c r="AQ291" s="505"/>
      <c r="AR291" s="505"/>
      <c r="AS291" s="505"/>
      <c r="AT291" s="505"/>
      <c r="AU291" s="505"/>
      <c r="AV291" s="505"/>
      <c r="AW291" s="505"/>
      <c r="AX291" s="505"/>
      <c r="AY291" s="505"/>
      <c r="AZ291" s="505"/>
      <c r="BA291" s="505"/>
      <c r="BB291" s="505"/>
      <c r="BC291" s="505"/>
      <c r="BD291" s="505"/>
    </row>
    <row r="292" spans="1:56" ht="9.9499999999999993" customHeight="1">
      <c r="A292" s="505"/>
      <c r="B292" s="505"/>
      <c r="C292" s="505"/>
      <c r="D292" s="505"/>
      <c r="E292" s="505"/>
      <c r="F292" s="505"/>
      <c r="G292" s="505"/>
      <c r="H292" s="505"/>
      <c r="I292" s="505"/>
      <c r="J292" s="505"/>
      <c r="K292" s="505"/>
      <c r="L292" s="505"/>
      <c r="M292" s="505"/>
      <c r="N292" s="505"/>
      <c r="O292" s="505"/>
      <c r="P292" s="505"/>
      <c r="Q292" s="505"/>
      <c r="R292" s="505"/>
      <c r="S292" s="505"/>
      <c r="T292" s="505"/>
      <c r="U292" s="505"/>
      <c r="V292" s="505"/>
      <c r="W292" s="505"/>
      <c r="X292" s="505"/>
      <c r="Y292" s="505"/>
      <c r="Z292" s="505"/>
      <c r="AA292" s="505"/>
      <c r="AB292" s="505"/>
      <c r="AC292" s="505"/>
      <c r="AD292" s="505"/>
      <c r="AE292" s="505"/>
      <c r="AF292" s="505"/>
      <c r="AG292" s="505"/>
      <c r="AH292" s="505"/>
      <c r="AI292" s="505"/>
      <c r="AJ292" s="505"/>
      <c r="AK292" s="505"/>
      <c r="AL292" s="505"/>
      <c r="AM292" s="505"/>
      <c r="AN292" s="505"/>
      <c r="AO292" s="505"/>
      <c r="AP292" s="505"/>
      <c r="AQ292" s="505"/>
      <c r="AR292" s="505"/>
      <c r="AS292" s="505"/>
      <c r="AT292" s="505"/>
      <c r="AU292" s="505"/>
      <c r="AV292" s="505"/>
      <c r="AW292" s="505"/>
      <c r="AX292" s="505"/>
      <c r="AY292" s="505"/>
      <c r="AZ292" s="505"/>
      <c r="BA292" s="505"/>
      <c r="BB292" s="505"/>
      <c r="BC292" s="505"/>
      <c r="BD292" s="505"/>
    </row>
    <row r="293" spans="1:56" ht="9.9499999999999993" customHeight="1">
      <c r="A293" s="505"/>
      <c r="B293" s="505"/>
      <c r="C293" s="505"/>
      <c r="D293" s="505"/>
      <c r="E293" s="505"/>
      <c r="F293" s="505"/>
      <c r="G293" s="505"/>
      <c r="H293" s="505"/>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row>
    <row r="294" spans="1:56" ht="9.9499999999999993" customHeight="1">
      <c r="A294" s="505"/>
      <c r="B294" s="505"/>
      <c r="C294" s="505"/>
      <c r="D294" s="505"/>
      <c r="E294" s="505"/>
      <c r="F294" s="505"/>
      <c r="G294" s="505"/>
      <c r="H294" s="505"/>
      <c r="I294" s="505"/>
      <c r="J294" s="505"/>
      <c r="K294" s="505"/>
      <c r="L294" s="505"/>
      <c r="M294" s="505"/>
      <c r="N294" s="505"/>
      <c r="O294" s="505"/>
      <c r="P294" s="505"/>
      <c r="Q294" s="505"/>
      <c r="R294" s="505"/>
      <c r="S294" s="505"/>
      <c r="T294" s="505"/>
      <c r="U294" s="505"/>
      <c r="V294" s="505"/>
      <c r="W294" s="505"/>
      <c r="X294" s="505"/>
      <c r="Y294" s="505"/>
      <c r="Z294" s="505"/>
      <c r="AA294" s="505"/>
      <c r="AB294" s="505"/>
      <c r="AC294" s="505"/>
      <c r="AD294" s="505"/>
      <c r="AE294" s="505"/>
      <c r="AF294" s="505"/>
      <c r="AG294" s="505"/>
      <c r="AH294" s="505"/>
      <c r="AI294" s="505"/>
      <c r="AJ294" s="505"/>
      <c r="AK294" s="505"/>
      <c r="AL294" s="505"/>
      <c r="AM294" s="505"/>
      <c r="AN294" s="505"/>
      <c r="AO294" s="505"/>
      <c r="AP294" s="505"/>
      <c r="AQ294" s="505"/>
      <c r="AR294" s="505"/>
      <c r="AS294" s="505"/>
      <c r="AT294" s="505"/>
      <c r="AU294" s="505"/>
      <c r="AV294" s="505"/>
      <c r="AW294" s="505"/>
      <c r="AX294" s="505"/>
      <c r="AY294" s="505"/>
      <c r="AZ294" s="505"/>
      <c r="BA294" s="505"/>
      <c r="BB294" s="505"/>
      <c r="BC294" s="505"/>
      <c r="BD294" s="505"/>
    </row>
    <row r="295" spans="1:56" ht="9.9499999999999993" customHeight="1">
      <c r="A295" s="505"/>
      <c r="B295" s="505"/>
      <c r="C295" s="505"/>
      <c r="D295" s="505"/>
      <c r="E295" s="505"/>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505"/>
      <c r="AE295" s="505"/>
      <c r="AF295" s="505"/>
      <c r="AG295" s="505"/>
      <c r="AH295" s="505"/>
      <c r="AI295" s="505"/>
      <c r="AJ295" s="505"/>
      <c r="AK295" s="505"/>
      <c r="AL295" s="505"/>
      <c r="AM295" s="505"/>
      <c r="AN295" s="505"/>
      <c r="AO295" s="505"/>
      <c r="AP295" s="505"/>
      <c r="AQ295" s="505"/>
      <c r="AR295" s="505"/>
      <c r="AS295" s="505"/>
      <c r="AT295" s="505"/>
      <c r="AU295" s="505"/>
      <c r="AV295" s="505"/>
      <c r="AW295" s="505"/>
      <c r="AX295" s="505"/>
      <c r="AY295" s="505"/>
      <c r="AZ295" s="505"/>
      <c r="BA295" s="505"/>
      <c r="BB295" s="505"/>
      <c r="BC295" s="505"/>
      <c r="BD295" s="505"/>
    </row>
    <row r="296" spans="1:56" ht="9.9499999999999993" customHeight="1">
      <c r="A296" s="505"/>
      <c r="B296" s="505"/>
      <c r="C296" s="505"/>
      <c r="D296" s="505"/>
      <c r="E296" s="505"/>
      <c r="F296" s="505"/>
      <c r="G296" s="505"/>
      <c r="H296" s="505"/>
      <c r="I296" s="505"/>
      <c r="J296" s="505"/>
      <c r="K296" s="505"/>
      <c r="L296" s="505"/>
      <c r="M296" s="505"/>
      <c r="N296" s="505"/>
      <c r="O296" s="505"/>
      <c r="P296" s="505"/>
      <c r="Q296" s="505"/>
      <c r="R296" s="505"/>
      <c r="S296" s="505"/>
      <c r="T296" s="505"/>
      <c r="U296" s="505"/>
      <c r="V296" s="505"/>
      <c r="W296" s="505"/>
      <c r="X296" s="505"/>
      <c r="Y296" s="505"/>
      <c r="Z296" s="505"/>
      <c r="AA296" s="505"/>
      <c r="AB296" s="505"/>
      <c r="AC296" s="505"/>
      <c r="AD296" s="505"/>
      <c r="AE296" s="505"/>
      <c r="AF296" s="505"/>
      <c r="AG296" s="505"/>
      <c r="AH296" s="505"/>
      <c r="AI296" s="505"/>
      <c r="AJ296" s="505"/>
      <c r="AK296" s="505"/>
      <c r="AL296" s="505"/>
      <c r="AM296" s="505"/>
      <c r="AN296" s="505"/>
      <c r="AO296" s="505"/>
      <c r="AP296" s="505"/>
      <c r="AQ296" s="505"/>
      <c r="AR296" s="505"/>
      <c r="AS296" s="505"/>
      <c r="AT296" s="505"/>
      <c r="AU296" s="505"/>
      <c r="AV296" s="505"/>
      <c r="AW296" s="505"/>
      <c r="AX296" s="505"/>
      <c r="AY296" s="505"/>
      <c r="AZ296" s="505"/>
      <c r="BA296" s="505"/>
      <c r="BB296" s="505"/>
      <c r="BC296" s="505"/>
      <c r="BD296" s="505"/>
    </row>
    <row r="297" spans="1:56" ht="9.9499999999999993" customHeight="1">
      <c r="A297" s="505"/>
      <c r="B297" s="505"/>
      <c r="C297" s="505"/>
      <c r="D297" s="505"/>
      <c r="E297" s="505"/>
      <c r="F297" s="505"/>
      <c r="G297" s="505"/>
      <c r="H297" s="505"/>
      <c r="I297" s="505"/>
      <c r="J297" s="505"/>
      <c r="K297" s="505"/>
      <c r="L297" s="505"/>
      <c r="M297" s="505"/>
      <c r="N297" s="505"/>
      <c r="O297" s="505"/>
      <c r="P297" s="505"/>
      <c r="Q297" s="505"/>
      <c r="R297" s="505"/>
      <c r="S297" s="505"/>
      <c r="T297" s="505"/>
      <c r="U297" s="505"/>
      <c r="V297" s="505"/>
      <c r="W297" s="505"/>
      <c r="X297" s="505"/>
      <c r="Y297" s="505"/>
      <c r="Z297" s="505"/>
      <c r="AA297" s="505"/>
      <c r="AB297" s="505"/>
      <c r="AC297" s="505"/>
      <c r="AD297" s="505"/>
      <c r="AE297" s="505"/>
      <c r="AF297" s="505"/>
      <c r="AG297" s="505"/>
      <c r="AH297" s="505"/>
      <c r="AI297" s="505"/>
      <c r="AJ297" s="505"/>
      <c r="AK297" s="505"/>
      <c r="AL297" s="505"/>
      <c r="AM297" s="505"/>
      <c r="AN297" s="505"/>
      <c r="AO297" s="505"/>
      <c r="AP297" s="505"/>
      <c r="AQ297" s="505"/>
      <c r="AR297" s="505"/>
      <c r="AS297" s="505"/>
      <c r="AT297" s="505"/>
      <c r="AU297" s="505"/>
      <c r="AV297" s="505"/>
      <c r="AW297" s="505"/>
      <c r="AX297" s="505"/>
      <c r="AY297" s="505"/>
      <c r="AZ297" s="505"/>
      <c r="BA297" s="505"/>
      <c r="BB297" s="505"/>
      <c r="BC297" s="505"/>
      <c r="BD297" s="505"/>
    </row>
    <row r="298" spans="1:56" ht="9.9499999999999993" customHeight="1">
      <c r="A298" s="505"/>
      <c r="B298" s="505"/>
      <c r="C298" s="505"/>
      <c r="D298" s="505"/>
      <c r="E298" s="505"/>
      <c r="F298" s="505"/>
      <c r="G298" s="505"/>
      <c r="H298" s="505"/>
      <c r="I298" s="505"/>
      <c r="J298" s="505"/>
      <c r="K298" s="505"/>
      <c r="L298" s="505"/>
      <c r="M298" s="505"/>
      <c r="N298" s="505"/>
      <c r="O298" s="505"/>
      <c r="P298" s="505"/>
      <c r="Q298" s="505"/>
      <c r="R298" s="505"/>
      <c r="S298" s="505"/>
      <c r="T298" s="505"/>
      <c r="U298" s="505"/>
      <c r="V298" s="505"/>
      <c r="W298" s="505"/>
      <c r="X298" s="505"/>
      <c r="Y298" s="505"/>
      <c r="Z298" s="505"/>
      <c r="AA298" s="505"/>
      <c r="AB298" s="505"/>
      <c r="AC298" s="505"/>
      <c r="AD298" s="505"/>
      <c r="AE298" s="505"/>
      <c r="AF298" s="505"/>
      <c r="AG298" s="505"/>
      <c r="AH298" s="505"/>
      <c r="AI298" s="505"/>
      <c r="AJ298" s="505"/>
      <c r="AK298" s="505"/>
      <c r="AL298" s="505"/>
      <c r="AM298" s="505"/>
      <c r="AN298" s="505"/>
      <c r="AO298" s="505"/>
      <c r="AP298" s="505"/>
      <c r="AQ298" s="505"/>
      <c r="AR298" s="505"/>
      <c r="AS298" s="505"/>
      <c r="AT298" s="505"/>
      <c r="AU298" s="505"/>
      <c r="AV298" s="505"/>
      <c r="AW298" s="505"/>
      <c r="AX298" s="505"/>
      <c r="AY298" s="505"/>
      <c r="AZ298" s="505"/>
      <c r="BA298" s="505"/>
      <c r="BB298" s="505"/>
      <c r="BC298" s="505"/>
      <c r="BD298" s="505"/>
    </row>
    <row r="299" spans="1:56" ht="9.9499999999999993" customHeight="1">
      <c r="A299" s="505"/>
      <c r="B299" s="505"/>
      <c r="C299" s="505"/>
      <c r="D299" s="505"/>
      <c r="E299" s="505"/>
      <c r="F299" s="505"/>
      <c r="G299" s="505"/>
      <c r="H299" s="505"/>
      <c r="I299" s="505"/>
      <c r="J299" s="505"/>
      <c r="K299" s="505"/>
      <c r="L299" s="505"/>
      <c r="M299" s="505"/>
      <c r="N299" s="505"/>
      <c r="O299" s="505"/>
      <c r="P299" s="505"/>
      <c r="Q299" s="505"/>
      <c r="R299" s="505"/>
      <c r="S299" s="505"/>
      <c r="T299" s="505"/>
      <c r="U299" s="505"/>
      <c r="V299" s="505"/>
      <c r="W299" s="505"/>
      <c r="X299" s="505"/>
      <c r="Y299" s="505"/>
      <c r="Z299" s="505"/>
      <c r="AA299" s="505"/>
      <c r="AB299" s="505"/>
      <c r="AC299" s="505"/>
      <c r="AD299" s="505"/>
      <c r="AE299" s="505"/>
      <c r="AF299" s="505"/>
      <c r="AG299" s="505"/>
      <c r="AH299" s="505"/>
      <c r="AI299" s="505"/>
      <c r="AJ299" s="505"/>
      <c r="AK299" s="505"/>
      <c r="AL299" s="505"/>
      <c r="AM299" s="505"/>
      <c r="AN299" s="505"/>
      <c r="AO299" s="505"/>
      <c r="AP299" s="505"/>
      <c r="AQ299" s="505"/>
      <c r="AR299" s="505"/>
      <c r="AS299" s="505"/>
      <c r="AT299" s="505"/>
      <c r="AU299" s="505"/>
      <c r="AV299" s="505"/>
      <c r="AW299" s="505"/>
      <c r="AX299" s="505"/>
      <c r="AY299" s="505"/>
      <c r="AZ299" s="505"/>
      <c r="BA299" s="505"/>
      <c r="BB299" s="505"/>
      <c r="BC299" s="505"/>
      <c r="BD299" s="505"/>
    </row>
    <row r="300" spans="1:56" ht="9.9499999999999993" customHeight="1">
      <c r="A300" s="505"/>
      <c r="B300" s="505"/>
      <c r="C300" s="505"/>
      <c r="D300" s="505"/>
      <c r="E300" s="505"/>
      <c r="F300" s="505"/>
      <c r="G300" s="505"/>
      <c r="H300" s="505"/>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row>
    <row r="301" spans="1:56" ht="9.9499999999999993" customHeight="1">
      <c r="A301" s="505"/>
      <c r="B301" s="505"/>
      <c r="C301" s="505"/>
      <c r="D301" s="505"/>
      <c r="E301" s="505"/>
      <c r="F301" s="505"/>
      <c r="G301" s="505"/>
      <c r="H301" s="505"/>
      <c r="I301" s="505"/>
      <c r="J301" s="505"/>
      <c r="K301" s="505"/>
      <c r="L301" s="505"/>
      <c r="M301" s="505"/>
      <c r="N301" s="505"/>
      <c r="O301" s="505"/>
      <c r="P301" s="505"/>
      <c r="Q301" s="505"/>
      <c r="R301" s="505"/>
      <c r="S301" s="505"/>
      <c r="T301" s="505"/>
      <c r="U301" s="505"/>
      <c r="V301" s="505"/>
      <c r="W301" s="505"/>
      <c r="X301" s="505"/>
      <c r="Y301" s="505"/>
      <c r="Z301" s="505"/>
      <c r="AA301" s="505"/>
      <c r="AB301" s="505"/>
      <c r="AC301" s="505"/>
      <c r="AD301" s="505"/>
      <c r="AE301" s="505"/>
      <c r="AF301" s="505"/>
      <c r="AG301" s="505"/>
      <c r="AH301" s="505"/>
      <c r="AI301" s="505"/>
      <c r="AJ301" s="505"/>
      <c r="AK301" s="505"/>
      <c r="AL301" s="505"/>
      <c r="AM301" s="505"/>
      <c r="AN301" s="505"/>
      <c r="AO301" s="505"/>
      <c r="AP301" s="505"/>
      <c r="AQ301" s="505"/>
      <c r="AR301" s="505"/>
      <c r="AS301" s="505"/>
      <c r="AT301" s="505"/>
      <c r="AU301" s="505"/>
      <c r="AV301" s="505"/>
      <c r="AW301" s="505"/>
      <c r="AX301" s="505"/>
      <c r="AY301" s="505"/>
      <c r="AZ301" s="505"/>
      <c r="BA301" s="505"/>
      <c r="BB301" s="505"/>
      <c r="BC301" s="505"/>
      <c r="BD301" s="505"/>
    </row>
    <row r="302" spans="1:56" ht="9.9499999999999993" customHeight="1">
      <c r="A302" s="505"/>
      <c r="B302" s="505"/>
      <c r="C302" s="505"/>
      <c r="D302" s="505"/>
      <c r="E302" s="505"/>
      <c r="F302" s="505"/>
      <c r="G302" s="505"/>
      <c r="H302" s="505"/>
      <c r="I302" s="505"/>
      <c r="J302" s="505"/>
      <c r="K302" s="505"/>
      <c r="L302" s="505"/>
      <c r="M302" s="505"/>
      <c r="N302" s="505"/>
      <c r="O302" s="505"/>
      <c r="P302" s="505"/>
      <c r="Q302" s="505"/>
      <c r="R302" s="505"/>
      <c r="S302" s="505"/>
      <c r="T302" s="505"/>
      <c r="U302" s="505"/>
      <c r="V302" s="505"/>
      <c r="W302" s="505"/>
      <c r="X302" s="505"/>
      <c r="Y302" s="505"/>
      <c r="Z302" s="505"/>
      <c r="AA302" s="505"/>
      <c r="AB302" s="505"/>
      <c r="AC302" s="505"/>
      <c r="AD302" s="505"/>
      <c r="AE302" s="505"/>
      <c r="AF302" s="505"/>
      <c r="AG302" s="505"/>
      <c r="AH302" s="505"/>
      <c r="AI302" s="505"/>
      <c r="AJ302" s="505"/>
      <c r="AK302" s="505"/>
      <c r="AL302" s="505"/>
      <c r="AM302" s="505"/>
      <c r="AN302" s="505"/>
      <c r="AO302" s="505"/>
      <c r="AP302" s="505"/>
      <c r="AQ302" s="505"/>
      <c r="AR302" s="505"/>
      <c r="AS302" s="505"/>
      <c r="AT302" s="505"/>
      <c r="AU302" s="505"/>
      <c r="AV302" s="505"/>
      <c r="AW302" s="505"/>
      <c r="AX302" s="505"/>
      <c r="AY302" s="505"/>
      <c r="AZ302" s="505"/>
      <c r="BA302" s="505"/>
      <c r="BB302" s="505"/>
      <c r="BC302" s="505"/>
      <c r="BD302" s="505"/>
    </row>
    <row r="303" spans="1:56" ht="9.9499999999999993" customHeight="1">
      <c r="A303" s="505"/>
      <c r="B303" s="505"/>
      <c r="C303" s="505"/>
      <c r="D303" s="505"/>
      <c r="E303" s="505"/>
      <c r="F303" s="505"/>
      <c r="G303" s="505"/>
      <c r="H303" s="505"/>
      <c r="I303" s="505"/>
      <c r="J303" s="505"/>
      <c r="K303" s="505"/>
      <c r="L303" s="505"/>
      <c r="M303" s="505"/>
      <c r="N303" s="505"/>
      <c r="O303" s="505"/>
      <c r="P303" s="505"/>
      <c r="Q303" s="505"/>
      <c r="R303" s="505"/>
      <c r="S303" s="505"/>
      <c r="T303" s="505"/>
      <c r="U303" s="505"/>
      <c r="V303" s="505"/>
      <c r="W303" s="505"/>
      <c r="X303" s="505"/>
      <c r="Y303" s="505"/>
      <c r="Z303" s="505"/>
      <c r="AA303" s="505"/>
      <c r="AB303" s="505"/>
      <c r="AC303" s="505"/>
      <c r="AD303" s="505"/>
      <c r="AE303" s="505"/>
      <c r="AF303" s="505"/>
      <c r="AG303" s="505"/>
      <c r="AH303" s="505"/>
      <c r="AI303" s="505"/>
      <c r="AJ303" s="505"/>
      <c r="AK303" s="505"/>
      <c r="AL303" s="505"/>
      <c r="AM303" s="505"/>
      <c r="AN303" s="505"/>
      <c r="AO303" s="505"/>
      <c r="AP303" s="505"/>
      <c r="AQ303" s="505"/>
      <c r="AR303" s="505"/>
      <c r="AS303" s="505"/>
      <c r="AT303" s="505"/>
      <c r="AU303" s="505"/>
      <c r="AV303" s="505"/>
      <c r="AW303" s="505"/>
      <c r="AX303" s="505"/>
      <c r="AY303" s="505"/>
      <c r="AZ303" s="505"/>
      <c r="BA303" s="505"/>
      <c r="BB303" s="505"/>
      <c r="BC303" s="505"/>
      <c r="BD303" s="505"/>
    </row>
    <row r="304" spans="1:56" ht="9.9499999999999993" customHeight="1">
      <c r="A304" s="505"/>
      <c r="B304" s="505"/>
      <c r="C304" s="505"/>
      <c r="D304" s="505"/>
      <c r="E304" s="505"/>
      <c r="F304" s="505"/>
      <c r="G304" s="505"/>
      <c r="H304" s="505"/>
      <c r="I304" s="505"/>
      <c r="J304" s="505"/>
      <c r="K304" s="505"/>
      <c r="L304" s="505"/>
      <c r="M304" s="505"/>
      <c r="N304" s="505"/>
      <c r="O304" s="505"/>
      <c r="P304" s="505"/>
      <c r="Q304" s="505"/>
      <c r="R304" s="505"/>
      <c r="S304" s="505"/>
      <c r="T304" s="505"/>
      <c r="U304" s="505"/>
      <c r="V304" s="505"/>
      <c r="W304" s="505"/>
      <c r="X304" s="505"/>
      <c r="Y304" s="505"/>
      <c r="Z304" s="505"/>
      <c r="AA304" s="505"/>
      <c r="AB304" s="505"/>
      <c r="AC304" s="505"/>
      <c r="AD304" s="505"/>
      <c r="AE304" s="505"/>
      <c r="AF304" s="505"/>
      <c r="AG304" s="505"/>
      <c r="AH304" s="505"/>
      <c r="AI304" s="505"/>
      <c r="AJ304" s="505"/>
      <c r="AK304" s="505"/>
      <c r="AL304" s="505"/>
      <c r="AM304" s="505"/>
      <c r="AN304" s="505"/>
      <c r="AO304" s="505"/>
      <c r="AP304" s="505"/>
      <c r="AQ304" s="505"/>
      <c r="AR304" s="505"/>
      <c r="AS304" s="505"/>
      <c r="AT304" s="505"/>
      <c r="AU304" s="505"/>
      <c r="AV304" s="505"/>
      <c r="AW304" s="505"/>
      <c r="AX304" s="505"/>
      <c r="AY304" s="505"/>
      <c r="AZ304" s="505"/>
      <c r="BA304" s="505"/>
      <c r="BB304" s="505"/>
      <c r="BC304" s="505"/>
      <c r="BD304" s="505"/>
    </row>
    <row r="305" spans="1:56" ht="9.9499999999999993" customHeight="1">
      <c r="A305" s="505"/>
      <c r="B305" s="505"/>
      <c r="C305" s="505"/>
      <c r="D305" s="505"/>
      <c r="E305" s="505"/>
      <c r="F305" s="505"/>
      <c r="G305" s="505"/>
      <c r="H305" s="505"/>
      <c r="I305" s="505"/>
      <c r="J305" s="505"/>
      <c r="K305" s="505"/>
      <c r="L305" s="505"/>
      <c r="M305" s="505"/>
      <c r="N305" s="505"/>
      <c r="O305" s="505"/>
      <c r="P305" s="505"/>
      <c r="Q305" s="505"/>
      <c r="R305" s="505"/>
      <c r="S305" s="505"/>
      <c r="T305" s="505"/>
      <c r="U305" s="505"/>
      <c r="V305" s="505"/>
      <c r="W305" s="505"/>
      <c r="X305" s="505"/>
      <c r="Y305" s="505"/>
      <c r="Z305" s="505"/>
      <c r="AA305" s="505"/>
      <c r="AB305" s="505"/>
      <c r="AC305" s="505"/>
      <c r="AD305" s="505"/>
      <c r="AE305" s="505"/>
      <c r="AF305" s="505"/>
      <c r="AG305" s="505"/>
      <c r="AH305" s="505"/>
      <c r="AI305" s="505"/>
      <c r="AJ305" s="505"/>
      <c r="AK305" s="505"/>
      <c r="AL305" s="505"/>
      <c r="AM305" s="505"/>
      <c r="AN305" s="505"/>
      <c r="AO305" s="505"/>
      <c r="AP305" s="505"/>
      <c r="AQ305" s="505"/>
      <c r="AR305" s="505"/>
      <c r="AS305" s="505"/>
      <c r="AT305" s="505"/>
      <c r="AU305" s="505"/>
      <c r="AV305" s="505"/>
      <c r="AW305" s="505"/>
      <c r="AX305" s="505"/>
      <c r="AY305" s="505"/>
      <c r="AZ305" s="505"/>
      <c r="BA305" s="505"/>
      <c r="BB305" s="505"/>
      <c r="BC305" s="505"/>
      <c r="BD305" s="505"/>
    </row>
    <row r="306" spans="1:56" ht="9.9499999999999993" customHeight="1">
      <c r="A306" s="505"/>
      <c r="B306" s="505"/>
      <c r="C306" s="505"/>
      <c r="D306" s="505"/>
      <c r="E306" s="505"/>
      <c r="F306" s="505"/>
      <c r="G306" s="505"/>
      <c r="H306" s="505"/>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row>
    <row r="307" spans="1:56" ht="9.9499999999999993" customHeight="1">
      <c r="A307" s="505"/>
      <c r="B307" s="505"/>
      <c r="C307" s="505"/>
      <c r="D307" s="505"/>
      <c r="E307" s="505"/>
      <c r="F307" s="505"/>
      <c r="G307" s="505"/>
      <c r="H307" s="505"/>
      <c r="I307" s="505"/>
      <c r="J307" s="505"/>
      <c r="K307" s="505"/>
      <c r="L307" s="505"/>
      <c r="M307" s="505"/>
      <c r="N307" s="505"/>
      <c r="O307" s="505"/>
      <c r="P307" s="505"/>
      <c r="Q307" s="505"/>
      <c r="R307" s="505"/>
      <c r="S307" s="505"/>
      <c r="T307" s="505"/>
      <c r="U307" s="505"/>
      <c r="V307" s="505"/>
      <c r="W307" s="505"/>
      <c r="X307" s="505"/>
      <c r="Y307" s="505"/>
      <c r="Z307" s="505"/>
      <c r="AA307" s="505"/>
      <c r="AB307" s="505"/>
      <c r="AC307" s="505"/>
      <c r="AD307" s="505"/>
      <c r="AE307" s="505"/>
      <c r="AF307" s="505"/>
      <c r="AG307" s="505"/>
      <c r="AH307" s="505"/>
      <c r="AI307" s="505"/>
      <c r="AJ307" s="505"/>
      <c r="AK307" s="505"/>
      <c r="AL307" s="505"/>
      <c r="AM307" s="505"/>
      <c r="AN307" s="505"/>
      <c r="AO307" s="505"/>
      <c r="AP307" s="505"/>
      <c r="AQ307" s="505"/>
      <c r="AR307" s="505"/>
      <c r="AS307" s="505"/>
      <c r="AT307" s="505"/>
      <c r="AU307" s="505"/>
      <c r="AV307" s="505"/>
      <c r="AW307" s="505"/>
      <c r="AX307" s="505"/>
      <c r="AY307" s="505"/>
      <c r="AZ307" s="505"/>
      <c r="BA307" s="505"/>
      <c r="BB307" s="505"/>
      <c r="BC307" s="505"/>
      <c r="BD307" s="505"/>
    </row>
    <row r="308" spans="1:56" ht="9.9499999999999993" customHeight="1">
      <c r="A308" s="505"/>
      <c r="B308" s="505"/>
      <c r="C308" s="505"/>
      <c r="D308" s="505"/>
      <c r="E308" s="505"/>
      <c r="F308" s="505"/>
      <c r="G308" s="505"/>
      <c r="H308" s="505"/>
      <c r="I308" s="505"/>
      <c r="J308" s="505"/>
      <c r="K308" s="505"/>
      <c r="L308" s="505"/>
      <c r="M308" s="505"/>
      <c r="N308" s="505"/>
      <c r="O308" s="505"/>
      <c r="P308" s="505"/>
      <c r="Q308" s="505"/>
      <c r="R308" s="505"/>
      <c r="S308" s="505"/>
      <c r="T308" s="505"/>
      <c r="U308" s="505"/>
      <c r="V308" s="505"/>
      <c r="W308" s="505"/>
      <c r="X308" s="505"/>
      <c r="Y308" s="505"/>
      <c r="Z308" s="505"/>
      <c r="AA308" s="505"/>
      <c r="AB308" s="505"/>
      <c r="AC308" s="505"/>
      <c r="AD308" s="505"/>
      <c r="AE308" s="505"/>
      <c r="AF308" s="505"/>
      <c r="AG308" s="505"/>
      <c r="AH308" s="505"/>
      <c r="AI308" s="505"/>
      <c r="AJ308" s="505"/>
      <c r="AK308" s="505"/>
      <c r="AL308" s="505"/>
      <c r="AM308" s="505"/>
      <c r="AN308" s="505"/>
      <c r="AO308" s="505"/>
      <c r="AP308" s="505"/>
      <c r="AQ308" s="505"/>
      <c r="AR308" s="505"/>
      <c r="AS308" s="505"/>
      <c r="AT308" s="505"/>
      <c r="AU308" s="505"/>
      <c r="AV308" s="505"/>
      <c r="AW308" s="505"/>
      <c r="AX308" s="505"/>
      <c r="AY308" s="505"/>
      <c r="AZ308" s="505"/>
      <c r="BA308" s="505"/>
      <c r="BB308" s="505"/>
      <c r="BC308" s="505"/>
      <c r="BD308" s="505"/>
    </row>
    <row r="309" spans="1:56" ht="9.9499999999999993" customHeight="1">
      <c r="A309" s="505"/>
      <c r="B309" s="505"/>
      <c r="C309" s="505"/>
      <c r="D309" s="505"/>
      <c r="E309" s="505"/>
      <c r="F309" s="505"/>
      <c r="G309" s="505"/>
      <c r="H309" s="505"/>
      <c r="I309" s="505"/>
      <c r="J309" s="505"/>
      <c r="K309" s="505"/>
      <c r="L309" s="505"/>
      <c r="M309" s="505"/>
      <c r="N309" s="505"/>
      <c r="O309" s="505"/>
      <c r="P309" s="505"/>
      <c r="Q309" s="505"/>
      <c r="R309" s="505"/>
      <c r="S309" s="505"/>
      <c r="T309" s="505"/>
      <c r="U309" s="505"/>
      <c r="V309" s="505"/>
      <c r="W309" s="505"/>
      <c r="X309" s="505"/>
      <c r="Y309" s="505"/>
      <c r="Z309" s="505"/>
      <c r="AA309" s="505"/>
      <c r="AB309" s="505"/>
      <c r="AC309" s="505"/>
      <c r="AD309" s="505"/>
      <c r="AE309" s="505"/>
      <c r="AF309" s="505"/>
      <c r="AG309" s="505"/>
      <c r="AH309" s="505"/>
      <c r="AI309" s="505"/>
      <c r="AJ309" s="505"/>
      <c r="AK309" s="505"/>
      <c r="AL309" s="505"/>
      <c r="AM309" s="505"/>
      <c r="AN309" s="505"/>
      <c r="AO309" s="505"/>
      <c r="AP309" s="505"/>
      <c r="AQ309" s="505"/>
      <c r="AR309" s="505"/>
      <c r="AS309" s="505"/>
      <c r="AT309" s="505"/>
      <c r="AU309" s="505"/>
      <c r="AV309" s="505"/>
      <c r="AW309" s="505"/>
      <c r="AX309" s="505"/>
      <c r="AY309" s="505"/>
      <c r="AZ309" s="505"/>
      <c r="BA309" s="505"/>
      <c r="BB309" s="505"/>
      <c r="BC309" s="505"/>
      <c r="BD309" s="505"/>
    </row>
    <row r="310" spans="1:56" ht="9.9499999999999993" customHeight="1">
      <c r="A310" s="505"/>
      <c r="B310" s="505"/>
      <c r="C310" s="505"/>
      <c r="D310" s="505"/>
      <c r="E310" s="505"/>
      <c r="F310" s="505"/>
      <c r="G310" s="505"/>
      <c r="H310" s="505"/>
      <c r="I310" s="505"/>
      <c r="J310" s="505"/>
      <c r="K310" s="505"/>
      <c r="L310" s="505"/>
      <c r="M310" s="505"/>
      <c r="N310" s="505"/>
      <c r="O310" s="505"/>
      <c r="P310" s="505"/>
      <c r="Q310" s="505"/>
      <c r="R310" s="505"/>
      <c r="S310" s="505"/>
      <c r="T310" s="505"/>
      <c r="U310" s="505"/>
      <c r="V310" s="505"/>
      <c r="W310" s="505"/>
      <c r="X310" s="505"/>
      <c r="Y310" s="505"/>
      <c r="Z310" s="505"/>
      <c r="AA310" s="505"/>
      <c r="AB310" s="505"/>
      <c r="AC310" s="505"/>
      <c r="AD310" s="505"/>
      <c r="AE310" s="505"/>
      <c r="AF310" s="505"/>
      <c r="AG310" s="505"/>
      <c r="AH310" s="505"/>
      <c r="AI310" s="505"/>
      <c r="AJ310" s="505"/>
      <c r="AK310" s="505"/>
      <c r="AL310" s="505"/>
      <c r="AM310" s="505"/>
      <c r="AN310" s="505"/>
      <c r="AO310" s="505"/>
      <c r="AP310" s="505"/>
      <c r="AQ310" s="505"/>
      <c r="AR310" s="505"/>
      <c r="AS310" s="505"/>
      <c r="AT310" s="505"/>
      <c r="AU310" s="505"/>
      <c r="AV310" s="505"/>
      <c r="AW310" s="505"/>
      <c r="AX310" s="505"/>
      <c r="AY310" s="505"/>
      <c r="AZ310" s="505"/>
      <c r="BA310" s="505"/>
      <c r="BB310" s="505"/>
      <c r="BC310" s="505"/>
      <c r="BD310" s="505"/>
    </row>
    <row r="311" spans="1:56" ht="9.9499999999999993" customHeight="1">
      <c r="A311" s="505"/>
      <c r="B311" s="505"/>
      <c r="C311" s="505"/>
      <c r="D311" s="505"/>
      <c r="E311" s="505"/>
      <c r="F311" s="505"/>
      <c r="G311" s="505"/>
      <c r="H311" s="505"/>
      <c r="I311" s="505"/>
      <c r="J311" s="505"/>
      <c r="K311" s="505"/>
      <c r="L311" s="505"/>
      <c r="M311" s="505"/>
      <c r="N311" s="505"/>
      <c r="O311" s="505"/>
      <c r="P311" s="505"/>
      <c r="Q311" s="505"/>
      <c r="R311" s="505"/>
      <c r="S311" s="505"/>
      <c r="T311" s="505"/>
      <c r="U311" s="505"/>
      <c r="V311" s="505"/>
      <c r="W311" s="505"/>
      <c r="X311" s="505"/>
      <c r="Y311" s="505"/>
      <c r="Z311" s="505"/>
      <c r="AA311" s="505"/>
      <c r="AB311" s="505"/>
      <c r="AC311" s="505"/>
      <c r="AD311" s="505"/>
      <c r="AE311" s="505"/>
      <c r="AF311" s="505"/>
      <c r="AG311" s="505"/>
      <c r="AH311" s="505"/>
      <c r="AI311" s="505"/>
      <c r="AJ311" s="505"/>
      <c r="AK311" s="505"/>
      <c r="AL311" s="505"/>
      <c r="AM311" s="505"/>
      <c r="AN311" s="505"/>
      <c r="AO311" s="505"/>
      <c r="AP311" s="505"/>
      <c r="AQ311" s="505"/>
      <c r="AR311" s="505"/>
      <c r="AS311" s="505"/>
      <c r="AT311" s="505"/>
      <c r="AU311" s="505"/>
      <c r="AV311" s="505"/>
      <c r="AW311" s="505"/>
      <c r="AX311" s="505"/>
      <c r="AY311" s="505"/>
      <c r="AZ311" s="505"/>
      <c r="BA311" s="505"/>
      <c r="BB311" s="505"/>
      <c r="BC311" s="505"/>
      <c r="BD311" s="505"/>
    </row>
    <row r="312" spans="1:56" ht="9.9499999999999993" customHeight="1">
      <c r="A312" s="505"/>
      <c r="B312" s="505"/>
      <c r="C312" s="505"/>
      <c r="D312" s="505"/>
      <c r="E312" s="505"/>
      <c r="F312" s="505"/>
      <c r="G312" s="505"/>
      <c r="H312" s="505"/>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row>
  </sheetData>
  <pageMargins left="0.7" right="0.7" top="0.75" bottom="0.75" header="0.3" footer="0.3"/>
  <pageSetup paperSize="9" scale="76" orientation="portrait" r:id="rId1"/>
  <rowBreaks count="1" manualBreakCount="1">
    <brk id="90" max="16383" man="1"/>
  </rowBreaks>
  <colBreaks count="1" manualBreakCount="1">
    <brk id="12"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7"/>
  <dimension ref="A1:AL371"/>
  <sheetViews>
    <sheetView showRowColHeaders="0" view="pageBreakPreview" zoomScaleNormal="100" zoomScaleSheetLayoutView="100" workbookViewId="0">
      <pane xSplit="11" ySplit="45" topLeftCell="L79" activePane="bottomRight" state="frozen"/>
      <selection pane="topRight" activeCell="L1" sqref="L1"/>
      <selection pane="bottomLeft" activeCell="A46" sqref="A46"/>
      <selection pane="bottomRight" activeCell="J27" sqref="J27"/>
    </sheetView>
  </sheetViews>
  <sheetFormatPr baseColWidth="10" defaultColWidth="12" defaultRowHeight="9.9499999999999993" customHeight="1"/>
  <cols>
    <col min="1" max="11" width="12" style="490"/>
    <col min="12" max="12" width="13.33203125" style="490" customWidth="1"/>
    <col min="13" max="16384" width="12" style="490"/>
  </cols>
  <sheetData>
    <row r="1" spans="1:38" ht="9.9499999999999993" customHeight="1">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row>
    <row r="2" spans="1:38" ht="9.9499999999999993" customHeight="1">
      <c r="A2" s="505"/>
      <c r="B2" s="486"/>
      <c r="C2" s="487"/>
      <c r="D2" s="487"/>
      <c r="E2" s="487"/>
      <c r="F2" s="488"/>
      <c r="G2" s="487"/>
      <c r="H2" s="487"/>
      <c r="I2" s="487"/>
      <c r="J2" s="487"/>
      <c r="K2" s="489"/>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row>
    <row r="3" spans="1:38" ht="9.9499999999999993" customHeight="1">
      <c r="A3" s="505"/>
      <c r="B3" s="486"/>
      <c r="C3" s="487"/>
      <c r="D3" s="487"/>
      <c r="E3" s="487"/>
      <c r="F3" s="488"/>
      <c r="G3" s="487"/>
      <c r="H3" s="487"/>
      <c r="I3" s="487"/>
      <c r="J3" s="487"/>
      <c r="K3" s="489"/>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row>
    <row r="4" spans="1:38" ht="9.9499999999999993" customHeight="1">
      <c r="A4" s="505"/>
      <c r="B4" s="486"/>
      <c r="C4" s="487"/>
      <c r="D4" s="487"/>
      <c r="E4" s="487"/>
      <c r="F4" s="488"/>
      <c r="G4" s="487"/>
      <c r="H4" s="487"/>
      <c r="I4" s="487"/>
      <c r="J4" s="487"/>
      <c r="K4" s="489"/>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row>
    <row r="5" spans="1:38" ht="9.9499999999999993" customHeight="1">
      <c r="A5" s="505"/>
      <c r="B5" s="486"/>
      <c r="C5" s="487"/>
      <c r="D5" s="487"/>
      <c r="E5" s="487"/>
      <c r="F5" s="488"/>
      <c r="G5" s="487"/>
      <c r="H5" s="487"/>
      <c r="I5" s="487"/>
      <c r="J5" s="487"/>
      <c r="K5" s="489"/>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row>
    <row r="6" spans="1:38" ht="9.9499999999999993" customHeight="1" thickBot="1">
      <c r="A6" s="505"/>
      <c r="B6" s="491"/>
      <c r="C6" s="492"/>
      <c r="D6" s="492"/>
      <c r="E6" s="492"/>
      <c r="F6" s="493"/>
      <c r="G6" s="487"/>
      <c r="H6" s="487"/>
      <c r="I6" s="487"/>
      <c r="J6" s="487"/>
      <c r="K6" s="489"/>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row>
    <row r="7" spans="1:38" ht="9.9499999999999993" customHeight="1">
      <c r="A7" s="505"/>
      <c r="B7" s="494"/>
      <c r="C7" s="487"/>
      <c r="D7" s="487"/>
      <c r="E7" s="487"/>
      <c r="F7" s="489"/>
      <c r="G7" s="487"/>
      <c r="H7" s="487"/>
      <c r="I7" s="487"/>
      <c r="J7" s="487"/>
      <c r="K7" s="489"/>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row>
    <row r="8" spans="1:38" ht="9.9499999999999993" customHeight="1">
      <c r="A8" s="505"/>
      <c r="B8" s="494"/>
      <c r="C8" s="487"/>
      <c r="D8" s="487"/>
      <c r="E8" s="487"/>
      <c r="F8" s="489"/>
      <c r="G8" s="487"/>
      <c r="H8" s="487"/>
      <c r="I8" s="487"/>
      <c r="J8" s="487"/>
      <c r="K8" s="489"/>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row>
    <row r="9" spans="1:38" ht="9.9499999999999993" customHeight="1">
      <c r="A9" s="505"/>
      <c r="B9" s="494"/>
      <c r="C9" s="487"/>
      <c r="D9" s="487"/>
      <c r="E9" s="487"/>
      <c r="F9" s="489"/>
      <c r="G9" s="487"/>
      <c r="H9" s="487"/>
      <c r="I9" s="487"/>
      <c r="J9" s="487"/>
      <c r="K9" s="489"/>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row>
    <row r="10" spans="1:38" ht="9.9499999999999993" customHeight="1">
      <c r="A10" s="505"/>
      <c r="B10" s="494"/>
      <c r="C10" s="487"/>
      <c r="D10" s="487"/>
      <c r="E10" s="487"/>
      <c r="F10" s="489"/>
      <c r="G10" s="487"/>
      <c r="H10" s="487"/>
      <c r="I10" s="487"/>
      <c r="J10" s="487"/>
      <c r="K10" s="489"/>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row>
    <row r="11" spans="1:38" ht="9.9499999999999993" customHeight="1">
      <c r="A11" s="505"/>
      <c r="B11" s="494"/>
      <c r="C11" s="487"/>
      <c r="D11" s="487"/>
      <c r="E11" s="487"/>
      <c r="F11" s="489"/>
      <c r="G11" s="487"/>
      <c r="H11" s="487"/>
      <c r="I11" s="487"/>
      <c r="J11" s="487"/>
      <c r="K11" s="489"/>
      <c r="L11" s="505"/>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row>
    <row r="12" spans="1:38" ht="9.9499999999999993" customHeight="1">
      <c r="A12" s="505"/>
      <c r="B12" s="494"/>
      <c r="C12" s="487"/>
      <c r="D12" s="487"/>
      <c r="E12" s="487"/>
      <c r="F12" s="489"/>
      <c r="G12" s="487"/>
      <c r="H12" s="487"/>
      <c r="I12" s="487"/>
      <c r="J12" s="487"/>
      <c r="K12" s="489"/>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row>
    <row r="13" spans="1:38" ht="9.9499999999999993" customHeight="1">
      <c r="A13" s="505"/>
      <c r="B13" s="494"/>
      <c r="C13" s="487"/>
      <c r="D13" s="487"/>
      <c r="E13" s="487"/>
      <c r="F13" s="489"/>
      <c r="G13" s="487"/>
      <c r="H13" s="487"/>
      <c r="I13" s="487"/>
      <c r="J13" s="487"/>
      <c r="K13" s="489"/>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row>
    <row r="14" spans="1:38" ht="9.9499999999999993" customHeight="1">
      <c r="A14" s="505"/>
      <c r="B14" s="494"/>
      <c r="C14" s="487"/>
      <c r="D14" s="487"/>
      <c r="E14" s="487"/>
      <c r="F14" s="489"/>
      <c r="G14" s="487"/>
      <c r="H14" s="487"/>
      <c r="I14" s="487"/>
      <c r="J14" s="487"/>
      <c r="K14" s="489"/>
      <c r="L14" s="505"/>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505"/>
    </row>
    <row r="15" spans="1:38" ht="9.9499999999999993" customHeight="1">
      <c r="A15" s="505"/>
      <c r="B15" s="494"/>
      <c r="C15" s="487"/>
      <c r="D15" s="487"/>
      <c r="E15" s="487"/>
      <c r="F15" s="489"/>
      <c r="G15" s="487"/>
      <c r="H15" s="487"/>
      <c r="I15" s="487"/>
      <c r="J15" s="487"/>
      <c r="K15" s="489"/>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c r="AL15" s="505"/>
    </row>
    <row r="16" spans="1:38" ht="9.9499999999999993" customHeight="1">
      <c r="A16" s="505"/>
      <c r="B16" s="494"/>
      <c r="C16" s="487"/>
      <c r="D16" s="487"/>
      <c r="E16" s="487"/>
      <c r="F16" s="489"/>
      <c r="G16" s="487"/>
      <c r="H16" s="487"/>
      <c r="I16" s="487"/>
      <c r="J16" s="487"/>
      <c r="K16" s="489"/>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row>
    <row r="17" spans="1:38" ht="9.9499999999999993" customHeight="1">
      <c r="A17" s="505"/>
      <c r="B17" s="494"/>
      <c r="C17" s="487"/>
      <c r="D17" s="487"/>
      <c r="E17" s="487"/>
      <c r="F17" s="489"/>
      <c r="G17" s="487"/>
      <c r="H17" s="487"/>
      <c r="I17" s="487"/>
      <c r="J17" s="487"/>
      <c r="K17" s="489"/>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c r="AL17" s="505"/>
    </row>
    <row r="18" spans="1:38" ht="9.9499999999999993" customHeight="1">
      <c r="A18" s="505"/>
      <c r="B18" s="494"/>
      <c r="C18" s="487"/>
      <c r="D18" s="487"/>
      <c r="E18" s="487"/>
      <c r="F18" s="489"/>
      <c r="G18" s="487"/>
      <c r="H18" s="487"/>
      <c r="I18" s="487"/>
      <c r="J18" s="487"/>
      <c r="K18" s="489"/>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row>
    <row r="19" spans="1:38" ht="9.9499999999999993" customHeight="1">
      <c r="A19" s="505"/>
      <c r="B19" s="494"/>
      <c r="C19" s="487"/>
      <c r="D19" s="487"/>
      <c r="E19" s="487"/>
      <c r="F19" s="489"/>
      <c r="G19" s="487"/>
      <c r="H19" s="487"/>
      <c r="I19" s="487"/>
      <c r="J19" s="487"/>
      <c r="K19" s="489"/>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row>
    <row r="20" spans="1:38" ht="9.9499999999999993" customHeight="1">
      <c r="A20" s="505"/>
      <c r="B20" s="494"/>
      <c r="C20" s="487"/>
      <c r="D20" s="487"/>
      <c r="E20" s="487"/>
      <c r="F20" s="489"/>
      <c r="G20" s="487"/>
      <c r="H20" s="487"/>
      <c r="I20" s="487"/>
      <c r="J20" s="487"/>
      <c r="K20" s="489"/>
      <c r="L20" s="505"/>
      <c r="M20" s="505"/>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505"/>
    </row>
    <row r="21" spans="1:38" ht="9.9499999999999993" customHeight="1">
      <c r="A21" s="505"/>
      <c r="B21" s="494"/>
      <c r="C21" s="487"/>
      <c r="D21" s="487"/>
      <c r="E21" s="487"/>
      <c r="F21" s="489"/>
      <c r="G21" s="487"/>
      <c r="H21" s="487"/>
      <c r="I21" s="487"/>
      <c r="J21" s="487"/>
      <c r="K21" s="489"/>
      <c r="L21" s="505"/>
      <c r="M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c r="AL21" s="505"/>
    </row>
    <row r="22" spans="1:38" ht="9.9499999999999993" customHeight="1">
      <c r="A22" s="505"/>
      <c r="B22" s="494"/>
      <c r="C22" s="487"/>
      <c r="D22" s="487"/>
      <c r="E22" s="487"/>
      <c r="F22" s="489"/>
      <c r="G22" s="487"/>
      <c r="H22" s="487"/>
      <c r="I22" s="487"/>
      <c r="J22" s="487"/>
      <c r="K22" s="489"/>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row>
    <row r="23" spans="1:38" ht="9.9499999999999993" customHeight="1">
      <c r="A23" s="505"/>
      <c r="B23" s="494"/>
      <c r="C23" s="487"/>
      <c r="D23" s="487"/>
      <c r="E23" s="487"/>
      <c r="F23" s="489"/>
      <c r="G23" s="487"/>
      <c r="H23" s="487"/>
      <c r="I23" s="487"/>
      <c r="J23" s="487"/>
      <c r="K23" s="489"/>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row>
    <row r="24" spans="1:38" ht="9.9499999999999993" customHeight="1">
      <c r="A24" s="505"/>
      <c r="B24" s="494"/>
      <c r="C24" s="487"/>
      <c r="D24" s="487"/>
      <c r="E24" s="487"/>
      <c r="F24" s="489"/>
      <c r="G24" s="487"/>
      <c r="H24" s="487"/>
      <c r="I24" s="487"/>
      <c r="J24" s="487"/>
      <c r="K24" s="489"/>
      <c r="L24" s="505"/>
      <c r="M24" s="505"/>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c r="AL24" s="505"/>
    </row>
    <row r="25" spans="1:38" ht="9.9499999999999993" customHeight="1">
      <c r="A25" s="505"/>
      <c r="B25" s="494"/>
      <c r="C25" s="487"/>
      <c r="D25" s="487"/>
      <c r="E25" s="487"/>
      <c r="F25" s="489"/>
      <c r="G25" s="487"/>
      <c r="H25" s="487"/>
      <c r="I25" s="487"/>
      <c r="J25" s="487"/>
      <c r="K25" s="489"/>
      <c r="L25" s="505"/>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row>
    <row r="26" spans="1:38" ht="9.9499999999999993" customHeight="1">
      <c r="A26" s="505"/>
      <c r="B26" s="494"/>
      <c r="C26" s="487"/>
      <c r="D26" s="487"/>
      <c r="E26" s="487"/>
      <c r="F26" s="489"/>
      <c r="G26" s="487"/>
      <c r="H26" s="487"/>
      <c r="I26" s="487"/>
      <c r="J26" s="487"/>
      <c r="K26" s="489"/>
      <c r="L26" s="505"/>
      <c r="M26" s="505"/>
      <c r="N26" s="505"/>
      <c r="O26" s="505"/>
      <c r="P26" s="505"/>
      <c r="Q26" s="505"/>
      <c r="R26" s="505"/>
      <c r="S26" s="505"/>
      <c r="T26" s="505"/>
      <c r="U26" s="505"/>
      <c r="V26" s="505"/>
      <c r="W26" s="505"/>
      <c r="X26" s="505"/>
      <c r="Y26" s="505"/>
      <c r="Z26" s="505"/>
      <c r="AA26" s="505"/>
      <c r="AB26" s="505"/>
      <c r="AC26" s="505"/>
      <c r="AD26" s="505"/>
      <c r="AE26" s="505"/>
      <c r="AF26" s="505"/>
      <c r="AG26" s="505"/>
      <c r="AH26" s="505"/>
      <c r="AI26" s="505"/>
      <c r="AJ26" s="505"/>
      <c r="AK26" s="505"/>
      <c r="AL26" s="505"/>
    </row>
    <row r="27" spans="1:38" ht="9.9499999999999993" customHeight="1">
      <c r="A27" s="505"/>
      <c r="B27" s="494"/>
      <c r="C27" s="487"/>
      <c r="D27" s="487"/>
      <c r="E27" s="487"/>
      <c r="F27" s="489"/>
      <c r="G27" s="487"/>
      <c r="H27" s="487"/>
      <c r="I27" s="487"/>
      <c r="J27" s="505"/>
      <c r="K27" s="489"/>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row>
    <row r="28" spans="1:38" ht="9.9499999999999993" customHeight="1">
      <c r="A28" s="505"/>
      <c r="B28" s="494"/>
      <c r="C28" s="487"/>
      <c r="D28" s="487"/>
      <c r="E28" s="487"/>
      <c r="F28" s="489"/>
      <c r="G28" s="487"/>
      <c r="H28" s="487"/>
      <c r="I28" s="487"/>
      <c r="J28" s="487"/>
      <c r="K28" s="489"/>
      <c r="L28" s="505"/>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row>
    <row r="29" spans="1:38" ht="9.9499999999999993" customHeight="1">
      <c r="A29" s="505"/>
      <c r="B29" s="494"/>
      <c r="C29" s="487"/>
      <c r="D29" s="487"/>
      <c r="E29" s="487"/>
      <c r="F29" s="489"/>
      <c r="G29" s="487"/>
      <c r="H29" s="487"/>
      <c r="I29" s="487"/>
      <c r="J29" s="487"/>
      <c r="K29" s="489"/>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row>
    <row r="30" spans="1:38" ht="9.9499999999999993" customHeight="1">
      <c r="A30" s="505"/>
      <c r="B30" s="494"/>
      <c r="C30" s="487"/>
      <c r="D30" s="487"/>
      <c r="E30" s="487"/>
      <c r="F30" s="489"/>
      <c r="G30" s="487"/>
      <c r="H30" s="487"/>
      <c r="I30" s="487"/>
      <c r="J30" s="487"/>
      <c r="K30" s="489"/>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row>
    <row r="31" spans="1:38" ht="9.9499999999999993" customHeight="1">
      <c r="A31" s="505"/>
      <c r="B31" s="494"/>
      <c r="C31" s="487"/>
      <c r="D31" s="487"/>
      <c r="E31" s="487"/>
      <c r="F31" s="489"/>
      <c r="G31" s="487"/>
      <c r="H31" s="487"/>
      <c r="I31" s="487"/>
      <c r="J31" s="487"/>
      <c r="K31" s="489"/>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row>
    <row r="32" spans="1:38" ht="9.9499999999999993" customHeight="1">
      <c r="A32" s="505"/>
      <c r="B32" s="494"/>
      <c r="C32" s="487"/>
      <c r="D32" s="487"/>
      <c r="E32" s="487"/>
      <c r="F32" s="489"/>
      <c r="G32" s="487"/>
      <c r="H32" s="487"/>
      <c r="I32" s="487"/>
      <c r="J32" s="487"/>
      <c r="K32" s="489"/>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row>
    <row r="33" spans="1:38" ht="9.9499999999999993" customHeight="1">
      <c r="A33" s="505"/>
      <c r="B33" s="494"/>
      <c r="C33" s="487"/>
      <c r="D33" s="487"/>
      <c r="E33" s="487"/>
      <c r="F33" s="489"/>
      <c r="G33" s="487"/>
      <c r="H33" s="487"/>
      <c r="I33" s="487"/>
      <c r="J33" s="487"/>
      <c r="K33" s="489"/>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row>
    <row r="34" spans="1:38" ht="9.9499999999999993" customHeight="1">
      <c r="A34" s="505"/>
      <c r="B34" s="494"/>
      <c r="C34" s="487"/>
      <c r="D34" s="487"/>
      <c r="E34" s="487"/>
      <c r="F34" s="489"/>
      <c r="G34" s="487"/>
      <c r="H34" s="487"/>
      <c r="I34" s="487"/>
      <c r="J34" s="487"/>
      <c r="K34" s="489"/>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row>
    <row r="35" spans="1:38" ht="9.9499999999999993" customHeight="1">
      <c r="A35" s="505"/>
      <c r="B35" s="494"/>
      <c r="C35" s="487"/>
      <c r="D35" s="487"/>
      <c r="E35" s="487"/>
      <c r="F35" s="489"/>
      <c r="G35" s="487"/>
      <c r="H35" s="487"/>
      <c r="I35" s="487"/>
      <c r="J35" s="487"/>
      <c r="K35" s="489"/>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row>
    <row r="36" spans="1:38" ht="9.9499999999999993" customHeight="1">
      <c r="A36" s="505"/>
      <c r="B36" s="494"/>
      <c r="C36" s="487"/>
      <c r="D36" s="487"/>
      <c r="E36" s="487"/>
      <c r="F36" s="489"/>
      <c r="G36" s="487"/>
      <c r="H36" s="487"/>
      <c r="I36" s="487"/>
      <c r="J36" s="487"/>
      <c r="K36" s="489"/>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row>
    <row r="37" spans="1:38" ht="9.9499999999999993" customHeight="1">
      <c r="A37" s="505"/>
      <c r="B37" s="494"/>
      <c r="C37" s="487"/>
      <c r="D37" s="487"/>
      <c r="E37" s="487"/>
      <c r="F37" s="489"/>
      <c r="G37" s="487"/>
      <c r="H37" s="487"/>
      <c r="I37" s="487"/>
      <c r="J37" s="487"/>
      <c r="K37" s="489"/>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row>
    <row r="38" spans="1:38" ht="9.9499999999999993" customHeight="1">
      <c r="A38" s="505"/>
      <c r="B38" s="494"/>
      <c r="C38" s="487"/>
      <c r="D38" s="487"/>
      <c r="E38" s="487"/>
      <c r="F38" s="489"/>
      <c r="G38" s="487"/>
      <c r="H38" s="487"/>
      <c r="I38" s="487"/>
      <c r="J38" s="487"/>
      <c r="K38" s="489"/>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5"/>
      <c r="AK38" s="505"/>
      <c r="AL38" s="505"/>
    </row>
    <row r="39" spans="1:38" ht="9.9499999999999993" customHeight="1">
      <c r="A39" s="505"/>
      <c r="B39" s="494"/>
      <c r="C39" s="487"/>
      <c r="D39" s="487"/>
      <c r="E39" s="487"/>
      <c r="F39" s="489"/>
      <c r="G39" s="487"/>
      <c r="H39" s="487"/>
      <c r="I39" s="487"/>
      <c r="J39" s="487"/>
      <c r="K39" s="489"/>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row>
    <row r="40" spans="1:38" ht="9.9499999999999993" customHeight="1">
      <c r="A40" s="505"/>
      <c r="B40" s="494"/>
      <c r="C40" s="487"/>
      <c r="D40" s="487"/>
      <c r="E40" s="487"/>
      <c r="F40" s="489"/>
      <c r="G40" s="487"/>
      <c r="H40" s="487"/>
      <c r="I40" s="487"/>
      <c r="J40" s="487"/>
      <c r="K40" s="489"/>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row>
    <row r="41" spans="1:38" ht="9.9499999999999993" customHeight="1">
      <c r="A41" s="505"/>
      <c r="B41" s="494"/>
      <c r="C41" s="487"/>
      <c r="D41" s="487"/>
      <c r="E41" s="487"/>
      <c r="F41" s="489"/>
      <c r="G41" s="487"/>
      <c r="H41" s="487"/>
      <c r="I41" s="487"/>
      <c r="J41" s="487"/>
      <c r="K41" s="489"/>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row>
    <row r="42" spans="1:38" ht="9.9499999999999993" customHeight="1">
      <c r="A42" s="505"/>
      <c r="B42" s="494"/>
      <c r="C42" s="487"/>
      <c r="D42" s="487"/>
      <c r="E42" s="487"/>
      <c r="F42" s="489"/>
      <c r="G42" s="487"/>
      <c r="H42" s="487"/>
      <c r="I42" s="487"/>
      <c r="J42" s="487"/>
      <c r="K42" s="489"/>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row>
    <row r="43" spans="1:38" ht="9.9499999999999993" customHeight="1" thickBot="1">
      <c r="A43" s="505"/>
      <c r="B43" s="495"/>
      <c r="C43" s="492"/>
      <c r="D43" s="492"/>
      <c r="E43" s="492"/>
      <c r="F43" s="496"/>
      <c r="G43" s="492"/>
      <c r="H43" s="492"/>
      <c r="I43" s="492"/>
      <c r="J43" s="492"/>
      <c r="K43" s="496"/>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row>
    <row r="44" spans="1:38" ht="9.9499999999999993" customHeight="1">
      <c r="A44" s="505"/>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row>
    <row r="45" spans="1:38" ht="9.9499999999999993" customHeight="1">
      <c r="A45" s="505"/>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row>
    <row r="46" spans="1:38" ht="9.9499999999999993" customHeight="1">
      <c r="A46" s="505"/>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row>
    <row r="47" spans="1:38" ht="9.9499999999999993" customHeight="1">
      <c r="A47" s="505"/>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row>
    <row r="48" spans="1:38" ht="9.9499999999999993" customHeight="1">
      <c r="A48" s="505"/>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row>
    <row r="49" spans="1:38" ht="9.9499999999999993" customHeight="1">
      <c r="A49" s="505"/>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row>
    <row r="50" spans="1:38" ht="9.9499999999999993" customHeight="1">
      <c r="A50" s="505"/>
      <c r="B50" s="505"/>
      <c r="C50" s="505"/>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505"/>
      <c r="AE50" s="505"/>
      <c r="AF50" s="505"/>
      <c r="AG50" s="505"/>
      <c r="AH50" s="505"/>
      <c r="AI50" s="505"/>
      <c r="AJ50" s="505"/>
      <c r="AK50" s="505"/>
      <c r="AL50" s="505"/>
    </row>
    <row r="51" spans="1:38" ht="9.9499999999999993" customHeight="1">
      <c r="A51" s="505"/>
      <c r="B51" s="505"/>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row>
    <row r="52" spans="1:38" ht="9.9499999999999993" customHeight="1">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row>
    <row r="53" spans="1:38" ht="9.9499999999999993" customHeight="1">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row>
    <row r="54" spans="1:38" ht="9.9499999999999993" customHeight="1">
      <c r="A54" s="505"/>
      <c r="B54" s="505"/>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row>
    <row r="55" spans="1:38" ht="9.9499999999999993"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row>
    <row r="56" spans="1:38" ht="9.9499999999999993" customHeight="1">
      <c r="A56" s="505"/>
      <c r="B56" s="505"/>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row>
    <row r="57" spans="1:38" ht="9.9499999999999993" customHeight="1">
      <c r="A57" s="505"/>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row>
    <row r="58" spans="1:38" ht="9.9499999999999993" customHeight="1">
      <c r="A58" s="505"/>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row>
    <row r="59" spans="1:38" ht="9.9499999999999993" customHeight="1">
      <c r="A59" s="505"/>
      <c r="B59" s="505"/>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row>
    <row r="60" spans="1:38" ht="9.9499999999999993" customHeight="1">
      <c r="A60" s="505"/>
      <c r="B60" s="505"/>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row>
    <row r="61" spans="1:38" ht="9.9499999999999993" customHeight="1">
      <c r="A61" s="505"/>
      <c r="B61" s="505"/>
      <c r="C61" s="505"/>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505"/>
      <c r="AE61" s="505"/>
      <c r="AF61" s="505"/>
      <c r="AG61" s="505"/>
      <c r="AH61" s="505"/>
      <c r="AI61" s="505"/>
      <c r="AJ61" s="505"/>
      <c r="AK61" s="505"/>
      <c r="AL61" s="505"/>
    </row>
    <row r="62" spans="1:38" ht="9.9499999999999993" customHeight="1">
      <c r="A62" s="505"/>
      <c r="B62" s="505"/>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row>
    <row r="63" spans="1:38" ht="9.9499999999999993" customHeight="1">
      <c r="A63" s="505"/>
      <c r="B63" s="505"/>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c r="AE63" s="505"/>
      <c r="AF63" s="505"/>
      <c r="AG63" s="505"/>
      <c r="AH63" s="505"/>
      <c r="AI63" s="505"/>
      <c r="AJ63" s="505"/>
      <c r="AK63" s="505"/>
      <c r="AL63" s="505"/>
    </row>
    <row r="64" spans="1:38" ht="9.9499999999999993" customHeight="1">
      <c r="A64" s="505"/>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505"/>
    </row>
    <row r="65" spans="1:38" ht="9.9499999999999993" customHeight="1">
      <c r="A65" s="505"/>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row>
    <row r="66" spans="1:38" ht="9.9499999999999993" customHeight="1">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row>
    <row r="67" spans="1:38" ht="9.9499999999999993" customHeight="1">
      <c r="A67" s="505"/>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row>
    <row r="68" spans="1:38" ht="9.9499999999999993" customHeight="1">
      <c r="A68" s="505"/>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05"/>
      <c r="AJ68" s="505"/>
      <c r="AK68" s="505"/>
      <c r="AL68" s="505"/>
    </row>
    <row r="69" spans="1:38" ht="9.9499999999999993" customHeight="1">
      <c r="A69" s="505"/>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505"/>
      <c r="AL69" s="505"/>
    </row>
    <row r="70" spans="1:38" ht="9.9499999999999993" customHeight="1">
      <c r="A70" s="505"/>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505"/>
      <c r="AE70" s="505"/>
      <c r="AF70" s="505"/>
      <c r="AG70" s="505"/>
      <c r="AH70" s="505"/>
      <c r="AI70" s="505"/>
      <c r="AJ70" s="505"/>
      <c r="AK70" s="505"/>
      <c r="AL70" s="505"/>
    </row>
    <row r="71" spans="1:38" ht="9.9499999999999993" customHeight="1">
      <c r="A71" s="505"/>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c r="AG71" s="505"/>
      <c r="AH71" s="505"/>
      <c r="AI71" s="505"/>
      <c r="AJ71" s="505"/>
      <c r="AK71" s="505"/>
      <c r="AL71" s="505"/>
    </row>
    <row r="72" spans="1:38" ht="9.9499999999999993" customHeight="1">
      <c r="A72" s="505"/>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c r="AG72" s="505"/>
      <c r="AH72" s="505"/>
      <c r="AI72" s="505"/>
      <c r="AJ72" s="505"/>
      <c r="AK72" s="505"/>
      <c r="AL72" s="505"/>
    </row>
    <row r="73" spans="1:38" ht="9.9499999999999993" customHeight="1">
      <c r="A73" s="505"/>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row>
    <row r="74" spans="1:38" ht="9.9499999999999993" customHeight="1">
      <c r="A74" s="505"/>
      <c r="B74" s="505"/>
      <c r="C74" s="505"/>
      <c r="D74" s="505"/>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c r="AE74" s="505"/>
      <c r="AF74" s="505"/>
      <c r="AG74" s="505"/>
      <c r="AH74" s="505"/>
      <c r="AI74" s="505"/>
      <c r="AJ74" s="505"/>
      <c r="AK74" s="505"/>
      <c r="AL74" s="505"/>
    </row>
    <row r="75" spans="1:38" ht="9.9499999999999993" customHeight="1">
      <c r="A75" s="505"/>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c r="AG75" s="505"/>
      <c r="AH75" s="505"/>
      <c r="AI75" s="505"/>
      <c r="AJ75" s="505"/>
      <c r="AK75" s="505"/>
      <c r="AL75" s="505"/>
    </row>
    <row r="76" spans="1:38" ht="9.9499999999999993" customHeight="1">
      <c r="A76" s="505"/>
      <c r="B76" s="505"/>
      <c r="C76" s="505"/>
      <c r="D76" s="505"/>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505"/>
      <c r="AE76" s="505"/>
      <c r="AF76" s="505"/>
      <c r="AG76" s="505"/>
      <c r="AH76" s="505"/>
      <c r="AI76" s="505"/>
      <c r="AJ76" s="505"/>
      <c r="AK76" s="505"/>
      <c r="AL76" s="505"/>
    </row>
    <row r="77" spans="1:38" ht="9.9499999999999993" customHeight="1">
      <c r="A77" s="505"/>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row>
    <row r="78" spans="1:38" ht="9.9499999999999993" customHeight="1">
      <c r="A78" s="505"/>
      <c r="B78" s="505"/>
      <c r="C78" s="505"/>
      <c r="D78" s="505"/>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505"/>
      <c r="AE78" s="505"/>
      <c r="AF78" s="505"/>
      <c r="AG78" s="505"/>
      <c r="AH78" s="505"/>
      <c r="AI78" s="505"/>
      <c r="AJ78" s="505"/>
      <c r="AK78" s="505"/>
      <c r="AL78" s="505"/>
    </row>
    <row r="79" spans="1:38" ht="9.9499999999999993" customHeight="1">
      <c r="A79" s="505"/>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505"/>
      <c r="AL79" s="505"/>
    </row>
    <row r="80" spans="1:38" ht="9.9499999999999993" customHeight="1">
      <c r="A80" s="505"/>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row>
    <row r="81" spans="1:38" ht="9.9499999999999993" customHeight="1">
      <c r="A81" s="505"/>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row>
    <row r="82" spans="1:38" ht="9.9499999999999993" customHeight="1">
      <c r="A82" s="505"/>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row>
    <row r="83" spans="1:38" ht="9.9499999999999993" customHeight="1">
      <c r="A83" s="505"/>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row>
    <row r="84" spans="1:38" ht="9.9499999999999993" customHeight="1">
      <c r="A84" s="505"/>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row>
    <row r="85" spans="1:38" ht="9.9499999999999993" customHeight="1">
      <c r="A85" s="505"/>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row>
    <row r="86" spans="1:38" ht="9.9499999999999993" customHeight="1">
      <c r="A86" s="505"/>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c r="AG86" s="505"/>
      <c r="AH86" s="505"/>
      <c r="AI86" s="505"/>
      <c r="AJ86" s="505"/>
      <c r="AK86" s="505"/>
      <c r="AL86" s="505"/>
    </row>
    <row r="87" spans="1:38" ht="9.9499999999999993" customHeight="1">
      <c r="A87" s="505"/>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c r="AG87" s="505"/>
      <c r="AH87" s="505"/>
      <c r="AI87" s="505"/>
      <c r="AJ87" s="505"/>
      <c r="AK87" s="505"/>
      <c r="AL87" s="505"/>
    </row>
    <row r="88" spans="1:38" ht="9.9499999999999993" customHeight="1">
      <c r="A88" s="505"/>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c r="AG88" s="505"/>
      <c r="AH88" s="505"/>
      <c r="AI88" s="505"/>
      <c r="AJ88" s="505"/>
      <c r="AK88" s="505"/>
      <c r="AL88" s="505"/>
    </row>
    <row r="89" spans="1:38" ht="9.9499999999999993" customHeight="1">
      <c r="A89" s="505"/>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row>
    <row r="90" spans="1:38" ht="9.9499999999999993" customHeight="1">
      <c r="A90" s="505"/>
      <c r="B90" s="505"/>
      <c r="C90" s="505"/>
      <c r="D90" s="505"/>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505"/>
      <c r="AE90" s="505"/>
      <c r="AF90" s="505"/>
      <c r="AG90" s="505"/>
      <c r="AH90" s="505"/>
      <c r="AI90" s="505"/>
      <c r="AJ90" s="505"/>
      <c r="AK90" s="505"/>
      <c r="AL90" s="505"/>
    </row>
    <row r="91" spans="1:38" ht="9.9499999999999993" customHeight="1">
      <c r="A91" s="505"/>
      <c r="B91" s="505"/>
      <c r="C91" s="505"/>
      <c r="D91" s="505"/>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505"/>
      <c r="AE91" s="505"/>
      <c r="AF91" s="505"/>
      <c r="AG91" s="505"/>
      <c r="AH91" s="505"/>
      <c r="AI91" s="505"/>
      <c r="AJ91" s="505"/>
      <c r="AK91" s="505"/>
      <c r="AL91" s="505"/>
    </row>
    <row r="92" spans="1:38" ht="9.9499999999999993" customHeight="1">
      <c r="A92" s="505"/>
      <c r="B92" s="505"/>
      <c r="C92" s="505"/>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row>
    <row r="93" spans="1:38" ht="9.9499999999999993" customHeight="1">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row>
    <row r="94" spans="1:38" ht="9.9499999999999993" customHeight="1">
      <c r="A94" s="505"/>
      <c r="B94" s="505"/>
      <c r="C94" s="505"/>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c r="AG94" s="505"/>
      <c r="AH94" s="505"/>
      <c r="AI94" s="505"/>
      <c r="AJ94" s="505"/>
      <c r="AK94" s="505"/>
      <c r="AL94" s="505"/>
    </row>
    <row r="95" spans="1:38" ht="9.9499999999999993" customHeight="1">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row>
    <row r="96" spans="1:38" ht="9.9499999999999993" customHeight="1">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row>
    <row r="97" spans="1:38" ht="9.9499999999999993" customHeight="1">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505"/>
      <c r="AD97" s="505"/>
      <c r="AE97" s="505"/>
      <c r="AF97" s="505"/>
      <c r="AG97" s="505"/>
      <c r="AH97" s="505"/>
      <c r="AI97" s="505"/>
      <c r="AJ97" s="505"/>
      <c r="AK97" s="505"/>
      <c r="AL97" s="505"/>
    </row>
    <row r="98" spans="1:38" ht="9.9499999999999993" customHeight="1">
      <c r="A98" s="505"/>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505"/>
      <c r="AE98" s="505"/>
      <c r="AF98" s="505"/>
      <c r="AG98" s="505"/>
      <c r="AH98" s="505"/>
      <c r="AI98" s="505"/>
      <c r="AJ98" s="505"/>
      <c r="AK98" s="505"/>
      <c r="AL98" s="505"/>
    </row>
    <row r="99" spans="1:38" ht="9.9499999999999993" customHeight="1">
      <c r="A99" s="505"/>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row>
    <row r="100" spans="1:38" ht="9.9499999999999993" customHeight="1">
      <c r="A100" s="505"/>
      <c r="B100" s="505"/>
      <c r="C100" s="505"/>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505"/>
      <c r="AE100" s="505"/>
      <c r="AF100" s="505"/>
      <c r="AG100" s="505"/>
      <c r="AH100" s="505"/>
      <c r="AI100" s="505"/>
      <c r="AJ100" s="505"/>
      <c r="AK100" s="505"/>
      <c r="AL100" s="505"/>
    </row>
    <row r="101" spans="1:38" ht="9.9499999999999993" customHeight="1">
      <c r="A101" s="505"/>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5"/>
      <c r="AE101" s="505"/>
      <c r="AF101" s="505"/>
      <c r="AG101" s="505"/>
      <c r="AH101" s="505"/>
      <c r="AI101" s="505"/>
      <c r="AJ101" s="505"/>
      <c r="AK101" s="505"/>
      <c r="AL101" s="505"/>
    </row>
    <row r="102" spans="1:38" ht="9.9499999999999993" customHeight="1">
      <c r="A102" s="505"/>
      <c r="B102" s="505"/>
      <c r="C102" s="50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505"/>
      <c r="AE102" s="505"/>
      <c r="AF102" s="505"/>
      <c r="AG102" s="505"/>
      <c r="AH102" s="505"/>
      <c r="AI102" s="505"/>
      <c r="AJ102" s="505"/>
      <c r="AK102" s="505"/>
      <c r="AL102" s="505"/>
    </row>
    <row r="103" spans="1:38" ht="9.9499999999999993" customHeight="1">
      <c r="A103" s="505"/>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row>
    <row r="104" spans="1:38" ht="9.9499999999999993" customHeight="1">
      <c r="A104" s="505"/>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row>
    <row r="105" spans="1:38" ht="9.9499999999999993" customHeight="1">
      <c r="A105" s="505"/>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c r="AG105" s="505"/>
      <c r="AH105" s="505"/>
      <c r="AI105" s="505"/>
      <c r="AJ105" s="505"/>
      <c r="AK105" s="505"/>
      <c r="AL105" s="505"/>
    </row>
    <row r="106" spans="1:38" ht="9.9499999999999993" customHeight="1">
      <c r="A106" s="505"/>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c r="AG106" s="505"/>
      <c r="AH106" s="505"/>
      <c r="AI106" s="505"/>
      <c r="AJ106" s="505"/>
      <c r="AK106" s="505"/>
      <c r="AL106" s="505"/>
    </row>
    <row r="107" spans="1:38" ht="9.9499999999999993"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505"/>
      <c r="AG107" s="505"/>
      <c r="AH107" s="505"/>
      <c r="AI107" s="505"/>
      <c r="AJ107" s="505"/>
      <c r="AK107" s="505"/>
      <c r="AL107" s="505"/>
    </row>
    <row r="108" spans="1:38" ht="9.9499999999999993" customHeight="1">
      <c r="A108" s="505"/>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505"/>
      <c r="AE108" s="505"/>
      <c r="AF108" s="505"/>
      <c r="AG108" s="505"/>
      <c r="AH108" s="505"/>
      <c r="AI108" s="505"/>
      <c r="AJ108" s="505"/>
      <c r="AK108" s="505"/>
      <c r="AL108" s="505"/>
    </row>
    <row r="109" spans="1:38" ht="9.9499999999999993" customHeight="1">
      <c r="A109" s="505"/>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row>
    <row r="110" spans="1:38" ht="9.9499999999999993" customHeight="1">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row>
    <row r="111" spans="1:38" ht="9.9499999999999993" customHeight="1">
      <c r="A111" s="505"/>
      <c r="B111" s="505"/>
      <c r="C111" s="505"/>
      <c r="D111" s="505"/>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505"/>
      <c r="AD111" s="505"/>
      <c r="AE111" s="505"/>
      <c r="AF111" s="505"/>
      <c r="AG111" s="505"/>
      <c r="AH111" s="505"/>
      <c r="AI111" s="505"/>
      <c r="AJ111" s="505"/>
      <c r="AK111" s="505"/>
      <c r="AL111" s="505"/>
    </row>
    <row r="112" spans="1:38" ht="9.9499999999999993" customHeight="1">
      <c r="A112" s="505"/>
      <c r="B112" s="505"/>
      <c r="C112" s="505"/>
      <c r="D112" s="505"/>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505"/>
      <c r="AD112" s="505"/>
      <c r="AE112" s="505"/>
      <c r="AF112" s="505"/>
      <c r="AG112" s="505"/>
      <c r="AH112" s="505"/>
      <c r="AI112" s="505"/>
      <c r="AJ112" s="505"/>
      <c r="AK112" s="505"/>
      <c r="AL112" s="505"/>
    </row>
    <row r="113" spans="1:38" ht="9.9499999999999993" customHeight="1">
      <c r="A113" s="50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505"/>
      <c r="AE113" s="505"/>
      <c r="AF113" s="505"/>
      <c r="AG113" s="505"/>
      <c r="AH113" s="505"/>
      <c r="AI113" s="505"/>
      <c r="AJ113" s="505"/>
      <c r="AK113" s="505"/>
      <c r="AL113" s="505"/>
    </row>
    <row r="114" spans="1:38" ht="9.9499999999999993" customHeight="1">
      <c r="A114" s="505"/>
      <c r="B114" s="505"/>
      <c r="C114" s="505"/>
      <c r="D114" s="505"/>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505"/>
      <c r="AD114" s="505"/>
      <c r="AE114" s="505"/>
      <c r="AF114" s="505"/>
      <c r="AG114" s="505"/>
      <c r="AH114" s="505"/>
      <c r="AI114" s="505"/>
      <c r="AJ114" s="505"/>
      <c r="AK114" s="505"/>
      <c r="AL114" s="505"/>
    </row>
    <row r="115" spans="1:38" ht="9.9499999999999993" customHeight="1">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505"/>
      <c r="AE115" s="505"/>
      <c r="AF115" s="505"/>
      <c r="AG115" s="505"/>
      <c r="AH115" s="505"/>
      <c r="AI115" s="505"/>
      <c r="AJ115" s="505"/>
      <c r="AK115" s="505"/>
      <c r="AL115" s="505"/>
    </row>
    <row r="116" spans="1:38" ht="9.9499999999999993" customHeight="1">
      <c r="A116" s="505"/>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5"/>
      <c r="AE116" s="505"/>
      <c r="AF116" s="505"/>
      <c r="AG116" s="505"/>
      <c r="AH116" s="505"/>
      <c r="AI116" s="505"/>
      <c r="AJ116" s="505"/>
      <c r="AK116" s="505"/>
      <c r="AL116" s="505"/>
    </row>
    <row r="117" spans="1:38" ht="9.9499999999999993" customHeight="1">
      <c r="A117" s="505"/>
      <c r="B117" s="505"/>
      <c r="C117" s="505"/>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505"/>
      <c r="AE117" s="505"/>
      <c r="AF117" s="505"/>
      <c r="AG117" s="505"/>
      <c r="AH117" s="505"/>
      <c r="AI117" s="505"/>
      <c r="AJ117" s="505"/>
      <c r="AK117" s="505"/>
      <c r="AL117" s="505"/>
    </row>
    <row r="118" spans="1:38" ht="9.9499999999999993" customHeight="1">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row>
    <row r="119" spans="1:38" ht="9.9499999999999993" customHeight="1">
      <c r="A119" s="505"/>
      <c r="B119" s="505"/>
      <c r="C119" s="505"/>
      <c r="D119" s="505"/>
      <c r="E119" s="505"/>
      <c r="F119" s="505"/>
      <c r="G119" s="505"/>
      <c r="H119" s="505"/>
      <c r="I119" s="505"/>
      <c r="J119" s="505"/>
      <c r="K119" s="505"/>
      <c r="L119" s="505"/>
      <c r="M119" s="505"/>
      <c r="N119" s="505"/>
      <c r="O119" s="505"/>
      <c r="P119" s="505"/>
      <c r="Q119" s="505"/>
      <c r="R119" s="505"/>
      <c r="S119" s="505"/>
      <c r="T119" s="505"/>
      <c r="U119" s="505"/>
      <c r="V119" s="505"/>
      <c r="W119" s="505"/>
      <c r="X119" s="505"/>
      <c r="Y119" s="505"/>
      <c r="Z119" s="505"/>
      <c r="AA119" s="505"/>
      <c r="AB119" s="505"/>
      <c r="AC119" s="505"/>
      <c r="AD119" s="505"/>
      <c r="AE119" s="505"/>
      <c r="AF119" s="505"/>
      <c r="AG119" s="505"/>
      <c r="AH119" s="505"/>
      <c r="AI119" s="505"/>
      <c r="AJ119" s="505"/>
      <c r="AK119" s="505"/>
      <c r="AL119" s="505"/>
    </row>
    <row r="120" spans="1:38" ht="9.9499999999999993" customHeight="1">
      <c r="A120" s="505"/>
      <c r="B120" s="505"/>
      <c r="C120" s="505"/>
      <c r="D120" s="505"/>
      <c r="E120" s="505"/>
      <c r="F120" s="505"/>
      <c r="G120" s="505"/>
      <c r="H120" s="505"/>
      <c r="I120" s="505"/>
      <c r="J120" s="505"/>
      <c r="K120" s="505"/>
      <c r="L120" s="505"/>
      <c r="M120" s="505"/>
      <c r="N120" s="505"/>
      <c r="O120" s="505"/>
      <c r="P120" s="505"/>
      <c r="Q120" s="505"/>
      <c r="R120" s="505"/>
      <c r="S120" s="505"/>
      <c r="T120" s="505"/>
      <c r="U120" s="505"/>
      <c r="V120" s="505"/>
      <c r="W120" s="505"/>
      <c r="X120" s="505"/>
      <c r="Y120" s="505"/>
      <c r="Z120" s="505"/>
      <c r="AA120" s="505"/>
      <c r="AB120" s="505"/>
      <c r="AC120" s="505"/>
      <c r="AD120" s="505"/>
      <c r="AE120" s="505"/>
      <c r="AF120" s="505"/>
      <c r="AG120" s="505"/>
      <c r="AH120" s="505"/>
      <c r="AI120" s="505"/>
      <c r="AJ120" s="505"/>
      <c r="AK120" s="505"/>
      <c r="AL120" s="505"/>
    </row>
    <row r="121" spans="1:38" ht="9.9499999999999993" customHeight="1">
      <c r="A121" s="505"/>
      <c r="B121" s="505"/>
      <c r="C121" s="505"/>
      <c r="D121" s="505"/>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505"/>
      <c r="AE121" s="505"/>
      <c r="AF121" s="505"/>
      <c r="AG121" s="505"/>
      <c r="AH121" s="505"/>
      <c r="AI121" s="505"/>
      <c r="AJ121" s="505"/>
      <c r="AK121" s="505"/>
      <c r="AL121" s="505"/>
    </row>
    <row r="122" spans="1:38" ht="9.9499999999999993" customHeight="1">
      <c r="A122" s="505"/>
      <c r="B122" s="505"/>
      <c r="C122" s="505"/>
      <c r="D122" s="505"/>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505"/>
      <c r="AE122" s="505"/>
      <c r="AF122" s="505"/>
      <c r="AG122" s="505"/>
      <c r="AH122" s="505"/>
      <c r="AI122" s="505"/>
      <c r="AJ122" s="505"/>
      <c r="AK122" s="505"/>
      <c r="AL122" s="505"/>
    </row>
    <row r="123" spans="1:38" ht="9.9499999999999993" customHeight="1">
      <c r="A123" s="505"/>
      <c r="B123" s="505"/>
      <c r="C123" s="505"/>
      <c r="D123" s="505"/>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c r="AG123" s="505"/>
      <c r="AH123" s="505"/>
      <c r="AI123" s="505"/>
      <c r="AJ123" s="505"/>
      <c r="AK123" s="505"/>
      <c r="AL123" s="505"/>
    </row>
    <row r="124" spans="1:38" ht="9.9499999999999993" customHeight="1">
      <c r="A124" s="505"/>
      <c r="B124" s="505"/>
      <c r="C124" s="505"/>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c r="AG124" s="505"/>
      <c r="AH124" s="505"/>
      <c r="AI124" s="505"/>
      <c r="AJ124" s="505"/>
      <c r="AK124" s="505"/>
      <c r="AL124" s="505"/>
    </row>
    <row r="125" spans="1:38" ht="9.9499999999999993" customHeight="1">
      <c r="A125" s="505"/>
      <c r="B125" s="505"/>
      <c r="C125" s="505"/>
      <c r="D125" s="505"/>
      <c r="E125" s="505"/>
      <c r="F125" s="505"/>
      <c r="G125" s="505"/>
      <c r="H125" s="505"/>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row>
    <row r="126" spans="1:38" ht="9.9499999999999993" customHeight="1">
      <c r="A126" s="505"/>
      <c r="B126" s="505"/>
      <c r="C126" s="505"/>
      <c r="D126" s="505"/>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c r="AG126" s="505"/>
      <c r="AH126" s="505"/>
      <c r="AI126" s="505"/>
      <c r="AJ126" s="505"/>
      <c r="AK126" s="505"/>
      <c r="AL126" s="505"/>
    </row>
    <row r="127" spans="1:38" ht="9.9499999999999993" customHeight="1">
      <c r="A127" s="505"/>
      <c r="B127" s="505"/>
      <c r="C127" s="505"/>
      <c r="D127" s="505"/>
      <c r="E127" s="505"/>
      <c r="F127" s="505"/>
      <c r="G127" s="505"/>
      <c r="H127" s="505"/>
      <c r="I127" s="505"/>
      <c r="J127" s="505"/>
      <c r="K127" s="505"/>
      <c r="L127" s="505"/>
      <c r="M127" s="505"/>
      <c r="N127" s="505"/>
      <c r="O127" s="505"/>
      <c r="P127" s="505"/>
      <c r="Q127" s="505"/>
      <c r="R127" s="505"/>
      <c r="S127" s="505"/>
      <c r="T127" s="505"/>
      <c r="U127" s="505"/>
      <c r="V127" s="505"/>
      <c r="W127" s="505"/>
      <c r="X127" s="505"/>
      <c r="Y127" s="505"/>
      <c r="Z127" s="505"/>
      <c r="AA127" s="505"/>
      <c r="AB127" s="505"/>
      <c r="AC127" s="505"/>
      <c r="AD127" s="505"/>
      <c r="AE127" s="505"/>
      <c r="AF127" s="505"/>
      <c r="AG127" s="505"/>
      <c r="AH127" s="505"/>
      <c r="AI127" s="505"/>
      <c r="AJ127" s="505"/>
      <c r="AK127" s="505"/>
      <c r="AL127" s="505"/>
    </row>
    <row r="128" spans="1:38" ht="9.9499999999999993" customHeight="1">
      <c r="A128" s="505"/>
      <c r="B128" s="505"/>
      <c r="C128" s="505"/>
      <c r="D128" s="505"/>
      <c r="E128" s="505"/>
      <c r="F128" s="505"/>
      <c r="G128" s="505"/>
      <c r="H128" s="505"/>
      <c r="I128" s="505"/>
      <c r="J128" s="505"/>
      <c r="K128" s="505"/>
      <c r="L128" s="505"/>
      <c r="M128" s="505"/>
      <c r="N128" s="505"/>
      <c r="O128" s="505"/>
      <c r="P128" s="505"/>
      <c r="Q128" s="505"/>
      <c r="R128" s="505"/>
      <c r="S128" s="505"/>
      <c r="T128" s="505"/>
      <c r="U128" s="505"/>
      <c r="V128" s="505"/>
      <c r="W128" s="505"/>
      <c r="X128" s="505"/>
      <c r="Y128" s="505"/>
      <c r="Z128" s="505"/>
      <c r="AA128" s="505"/>
      <c r="AB128" s="505"/>
      <c r="AC128" s="505"/>
      <c r="AD128" s="505"/>
      <c r="AE128" s="505"/>
      <c r="AF128" s="505"/>
      <c r="AG128" s="505"/>
      <c r="AH128" s="505"/>
      <c r="AI128" s="505"/>
      <c r="AJ128" s="505"/>
      <c r="AK128" s="505"/>
      <c r="AL128" s="505"/>
    </row>
    <row r="129" spans="1:38" ht="9.9499999999999993" customHeight="1">
      <c r="A129" s="505"/>
      <c r="B129" s="505"/>
      <c r="C129" s="505"/>
      <c r="D129" s="505"/>
      <c r="E129" s="505"/>
      <c r="F129" s="505"/>
      <c r="G129" s="505"/>
      <c r="H129" s="505"/>
      <c r="I129" s="505"/>
      <c r="J129" s="505"/>
      <c r="K129" s="505"/>
      <c r="L129" s="505"/>
      <c r="M129" s="505"/>
      <c r="N129" s="505"/>
      <c r="O129" s="505"/>
      <c r="P129" s="505"/>
      <c r="Q129" s="505"/>
      <c r="R129" s="505"/>
      <c r="S129" s="505"/>
      <c r="T129" s="505"/>
      <c r="U129" s="505"/>
      <c r="V129" s="505"/>
      <c r="W129" s="505"/>
      <c r="X129" s="505"/>
      <c r="Y129" s="505"/>
      <c r="Z129" s="505"/>
      <c r="AA129" s="505"/>
      <c r="AB129" s="505"/>
      <c r="AC129" s="505"/>
      <c r="AD129" s="505"/>
      <c r="AE129" s="505"/>
      <c r="AF129" s="505"/>
      <c r="AG129" s="505"/>
      <c r="AH129" s="505"/>
      <c r="AI129" s="505"/>
      <c r="AJ129" s="505"/>
      <c r="AK129" s="505"/>
      <c r="AL129" s="505"/>
    </row>
    <row r="130" spans="1:38" ht="9.9499999999999993" customHeight="1">
      <c r="A130" s="505"/>
      <c r="B130" s="505"/>
      <c r="C130" s="505"/>
      <c r="D130" s="505"/>
      <c r="E130" s="505"/>
      <c r="F130" s="505"/>
      <c r="G130" s="505"/>
      <c r="H130" s="505"/>
      <c r="I130" s="505"/>
      <c r="J130" s="505"/>
      <c r="K130" s="505"/>
      <c r="L130" s="505"/>
      <c r="M130" s="505"/>
      <c r="N130" s="505"/>
      <c r="O130" s="505"/>
      <c r="P130" s="505"/>
      <c r="Q130" s="505"/>
      <c r="R130" s="505"/>
      <c r="S130" s="505"/>
      <c r="T130" s="505"/>
      <c r="U130" s="505"/>
      <c r="V130" s="505"/>
      <c r="W130" s="505"/>
      <c r="X130" s="505"/>
      <c r="Y130" s="505"/>
      <c r="Z130" s="505"/>
      <c r="AA130" s="505"/>
      <c r="AB130" s="505"/>
      <c r="AC130" s="505"/>
      <c r="AD130" s="505"/>
      <c r="AE130" s="505"/>
      <c r="AF130" s="505"/>
      <c r="AG130" s="505"/>
      <c r="AH130" s="505"/>
      <c r="AI130" s="505"/>
      <c r="AJ130" s="505"/>
      <c r="AK130" s="505"/>
      <c r="AL130" s="505"/>
    </row>
    <row r="131" spans="1:38" ht="9.9499999999999993" customHeight="1">
      <c r="A131" s="505"/>
      <c r="B131" s="505"/>
      <c r="C131" s="505"/>
      <c r="D131" s="505"/>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505"/>
      <c r="AE131" s="505"/>
      <c r="AF131" s="505"/>
      <c r="AG131" s="505"/>
      <c r="AH131" s="505"/>
      <c r="AI131" s="505"/>
      <c r="AJ131" s="505"/>
      <c r="AK131" s="505"/>
      <c r="AL131" s="505"/>
    </row>
    <row r="132" spans="1:38" ht="9.9499999999999993" customHeight="1">
      <c r="A132" s="505"/>
      <c r="B132" s="505"/>
      <c r="C132" s="505"/>
      <c r="D132" s="505"/>
      <c r="E132" s="505"/>
      <c r="F132" s="505"/>
      <c r="G132" s="505"/>
      <c r="H132" s="505"/>
      <c r="I132" s="505"/>
      <c r="J132" s="505"/>
      <c r="K132" s="505"/>
      <c r="L132" s="505"/>
      <c r="M132" s="505"/>
      <c r="N132" s="505"/>
      <c r="O132" s="505"/>
      <c r="P132" s="505"/>
      <c r="Q132" s="505"/>
      <c r="R132" s="505"/>
      <c r="S132" s="505"/>
      <c r="T132" s="505"/>
      <c r="U132" s="505"/>
      <c r="V132" s="505"/>
      <c r="W132" s="505"/>
      <c r="X132" s="505"/>
      <c r="Y132" s="505"/>
      <c r="Z132" s="505"/>
      <c r="AA132" s="505"/>
      <c r="AB132" s="505"/>
      <c r="AC132" s="505"/>
      <c r="AD132" s="505"/>
      <c r="AE132" s="505"/>
      <c r="AF132" s="505"/>
      <c r="AG132" s="505"/>
      <c r="AH132" s="505"/>
      <c r="AI132" s="505"/>
      <c r="AJ132" s="505"/>
      <c r="AK132" s="505"/>
      <c r="AL132" s="505"/>
    </row>
    <row r="133" spans="1:38" ht="9.9499999999999993" customHeight="1">
      <c r="A133" s="505"/>
      <c r="B133" s="505"/>
      <c r="C133" s="505"/>
      <c r="D133" s="505"/>
      <c r="E133" s="505"/>
      <c r="F133" s="505"/>
      <c r="G133" s="505"/>
      <c r="H133" s="505"/>
      <c r="I133" s="505"/>
      <c r="J133" s="505"/>
      <c r="K133" s="505"/>
      <c r="L133" s="505"/>
      <c r="M133" s="505"/>
      <c r="N133" s="505"/>
      <c r="O133" s="505"/>
      <c r="P133" s="505"/>
      <c r="Q133" s="505"/>
      <c r="R133" s="505"/>
      <c r="S133" s="505"/>
      <c r="T133" s="505"/>
      <c r="U133" s="505"/>
      <c r="V133" s="505"/>
      <c r="W133" s="505"/>
      <c r="X133" s="505"/>
      <c r="Y133" s="505"/>
      <c r="Z133" s="505"/>
      <c r="AA133" s="505"/>
      <c r="AB133" s="505"/>
      <c r="AC133" s="505"/>
      <c r="AD133" s="505"/>
      <c r="AE133" s="505"/>
      <c r="AF133" s="505"/>
      <c r="AG133" s="505"/>
      <c r="AH133" s="505"/>
      <c r="AI133" s="505"/>
      <c r="AJ133" s="505"/>
      <c r="AK133" s="505"/>
      <c r="AL133" s="505"/>
    </row>
    <row r="134" spans="1:38" ht="9.9499999999999993" customHeight="1">
      <c r="A134" s="505"/>
      <c r="B134" s="505"/>
      <c r="C134" s="505"/>
      <c r="D134" s="505"/>
      <c r="E134" s="505"/>
      <c r="F134" s="505"/>
      <c r="G134" s="505"/>
      <c r="H134" s="505"/>
      <c r="I134" s="505"/>
      <c r="J134" s="505"/>
      <c r="K134" s="505"/>
      <c r="L134" s="505"/>
      <c r="M134" s="505"/>
      <c r="N134" s="505"/>
      <c r="O134" s="505"/>
      <c r="P134" s="505"/>
      <c r="Q134" s="505"/>
      <c r="R134" s="505"/>
      <c r="S134" s="505"/>
      <c r="T134" s="505"/>
      <c r="U134" s="505"/>
      <c r="V134" s="505"/>
      <c r="W134" s="505"/>
      <c r="X134" s="505"/>
      <c r="Y134" s="505"/>
      <c r="Z134" s="505"/>
      <c r="AA134" s="505"/>
      <c r="AB134" s="505"/>
      <c r="AC134" s="505"/>
      <c r="AD134" s="505"/>
      <c r="AE134" s="505"/>
      <c r="AF134" s="505"/>
      <c r="AG134" s="505"/>
      <c r="AH134" s="505"/>
      <c r="AI134" s="505"/>
      <c r="AJ134" s="505"/>
      <c r="AK134" s="505"/>
      <c r="AL134" s="505"/>
    </row>
    <row r="135" spans="1:38" ht="9.9499999999999993" customHeight="1">
      <c r="A135" s="505"/>
      <c r="B135" s="505"/>
      <c r="C135" s="505"/>
      <c r="D135" s="505"/>
      <c r="E135" s="505"/>
      <c r="F135" s="505"/>
      <c r="G135" s="505"/>
      <c r="H135" s="505"/>
      <c r="I135" s="505"/>
      <c r="J135" s="505"/>
      <c r="K135" s="505"/>
      <c r="L135" s="505"/>
      <c r="M135" s="505"/>
      <c r="N135" s="505"/>
      <c r="O135" s="505"/>
      <c r="P135" s="505"/>
      <c r="Q135" s="505"/>
      <c r="R135" s="505"/>
      <c r="S135" s="505"/>
      <c r="T135" s="505"/>
      <c r="U135" s="505"/>
      <c r="V135" s="505"/>
      <c r="W135" s="505"/>
      <c r="X135" s="505"/>
      <c r="Y135" s="505"/>
      <c r="Z135" s="505"/>
      <c r="AA135" s="505"/>
      <c r="AB135" s="505"/>
      <c r="AC135" s="505"/>
      <c r="AD135" s="505"/>
      <c r="AE135" s="505"/>
      <c r="AF135" s="505"/>
      <c r="AG135" s="505"/>
      <c r="AH135" s="505"/>
      <c r="AI135" s="505"/>
      <c r="AJ135" s="505"/>
      <c r="AK135" s="505"/>
      <c r="AL135" s="505"/>
    </row>
    <row r="136" spans="1:38" ht="9.9499999999999993" customHeight="1">
      <c r="A136" s="505"/>
      <c r="B136" s="505"/>
      <c r="C136" s="505"/>
      <c r="D136" s="505"/>
      <c r="E136" s="505"/>
      <c r="F136" s="505"/>
      <c r="G136" s="505"/>
      <c r="H136" s="505"/>
      <c r="I136" s="505"/>
      <c r="J136" s="505"/>
      <c r="K136" s="505"/>
      <c r="L136" s="505"/>
      <c r="M136" s="505"/>
      <c r="N136" s="505"/>
      <c r="O136" s="505"/>
      <c r="P136" s="505"/>
      <c r="Q136" s="505"/>
      <c r="R136" s="505"/>
      <c r="S136" s="505"/>
      <c r="T136" s="505"/>
      <c r="U136" s="505"/>
      <c r="V136" s="505"/>
      <c r="W136" s="505"/>
      <c r="X136" s="505"/>
      <c r="Y136" s="505"/>
      <c r="Z136" s="505"/>
      <c r="AA136" s="505"/>
      <c r="AB136" s="505"/>
      <c r="AC136" s="505"/>
      <c r="AD136" s="505"/>
      <c r="AE136" s="505"/>
      <c r="AF136" s="505"/>
      <c r="AG136" s="505"/>
      <c r="AH136" s="505"/>
      <c r="AI136" s="505"/>
      <c r="AJ136" s="505"/>
      <c r="AK136" s="505"/>
      <c r="AL136" s="505"/>
    </row>
    <row r="137" spans="1:38" ht="9.9499999999999993" customHeight="1">
      <c r="A137" s="505"/>
      <c r="B137" s="505"/>
      <c r="C137" s="505"/>
      <c r="D137" s="505"/>
      <c r="E137" s="505"/>
      <c r="F137" s="505"/>
      <c r="G137" s="505"/>
      <c r="H137" s="505"/>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row>
    <row r="138" spans="1:38" ht="9.9499999999999993" customHeight="1">
      <c r="A138" s="505"/>
      <c r="B138" s="505"/>
      <c r="C138" s="505"/>
      <c r="D138" s="505"/>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505"/>
      <c r="AE138" s="505"/>
      <c r="AF138" s="505"/>
      <c r="AG138" s="505"/>
      <c r="AH138" s="505"/>
      <c r="AI138" s="505"/>
      <c r="AJ138" s="505"/>
      <c r="AK138" s="505"/>
      <c r="AL138" s="505"/>
    </row>
    <row r="139" spans="1:38" ht="9.9499999999999993" customHeight="1">
      <c r="A139" s="505"/>
      <c r="B139" s="505"/>
      <c r="C139" s="505"/>
      <c r="D139" s="505"/>
      <c r="E139" s="505"/>
      <c r="F139" s="505"/>
      <c r="G139" s="505"/>
      <c r="H139" s="505"/>
      <c r="I139" s="505"/>
      <c r="J139" s="505"/>
      <c r="K139" s="505"/>
      <c r="L139" s="505"/>
      <c r="M139" s="505"/>
      <c r="N139" s="505"/>
      <c r="O139" s="505"/>
      <c r="P139" s="505"/>
      <c r="Q139" s="505"/>
      <c r="R139" s="505"/>
      <c r="S139" s="505"/>
      <c r="T139" s="505"/>
      <c r="U139" s="505"/>
      <c r="V139" s="505"/>
      <c r="W139" s="505"/>
      <c r="X139" s="505"/>
      <c r="Y139" s="505"/>
      <c r="Z139" s="505"/>
      <c r="AA139" s="505"/>
      <c r="AB139" s="505"/>
      <c r="AC139" s="505"/>
      <c r="AD139" s="505"/>
      <c r="AE139" s="505"/>
      <c r="AF139" s="505"/>
      <c r="AG139" s="505"/>
      <c r="AH139" s="505"/>
      <c r="AI139" s="505"/>
      <c r="AJ139" s="505"/>
      <c r="AK139" s="505"/>
      <c r="AL139" s="505"/>
    </row>
    <row r="140" spans="1:38" ht="9.9499999999999993" customHeight="1">
      <c r="A140" s="505"/>
      <c r="B140" s="505"/>
      <c r="C140" s="505"/>
      <c r="D140" s="505"/>
      <c r="E140" s="505"/>
      <c r="F140" s="505"/>
      <c r="G140" s="505"/>
      <c r="H140" s="505"/>
      <c r="I140" s="505"/>
      <c r="J140" s="505"/>
      <c r="K140" s="505"/>
      <c r="L140" s="505"/>
      <c r="M140" s="505"/>
      <c r="N140" s="505"/>
      <c r="O140" s="505"/>
      <c r="P140" s="505"/>
      <c r="Q140" s="505"/>
      <c r="R140" s="505"/>
      <c r="S140" s="505"/>
      <c r="T140" s="505"/>
      <c r="U140" s="505"/>
      <c r="V140" s="505"/>
      <c r="W140" s="505"/>
      <c r="X140" s="505"/>
      <c r="Y140" s="505"/>
      <c r="Z140" s="505"/>
      <c r="AA140" s="505"/>
      <c r="AB140" s="505"/>
      <c r="AC140" s="505"/>
      <c r="AD140" s="505"/>
      <c r="AE140" s="505"/>
      <c r="AF140" s="505"/>
      <c r="AG140" s="505"/>
      <c r="AH140" s="505"/>
      <c r="AI140" s="505"/>
      <c r="AJ140" s="505"/>
      <c r="AK140" s="505"/>
      <c r="AL140" s="505"/>
    </row>
    <row r="141" spans="1:38" ht="9.9499999999999993" customHeight="1">
      <c r="A141" s="505"/>
      <c r="B141" s="505"/>
      <c r="C141" s="505"/>
      <c r="D141" s="505"/>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505"/>
      <c r="AE141" s="505"/>
      <c r="AF141" s="505"/>
      <c r="AG141" s="505"/>
      <c r="AH141" s="505"/>
      <c r="AI141" s="505"/>
      <c r="AJ141" s="505"/>
      <c r="AK141" s="505"/>
      <c r="AL141" s="505"/>
    </row>
    <row r="142" spans="1:38" ht="9.9499999999999993" customHeight="1">
      <c r="A142" s="505"/>
      <c r="B142" s="505"/>
      <c r="C142" s="505"/>
      <c r="D142" s="505"/>
      <c r="E142" s="505"/>
      <c r="F142" s="505"/>
      <c r="G142" s="505"/>
      <c r="H142" s="505"/>
      <c r="I142" s="505"/>
      <c r="J142" s="505"/>
      <c r="K142" s="505"/>
      <c r="L142" s="505"/>
      <c r="M142" s="505"/>
      <c r="N142" s="505"/>
      <c r="O142" s="505"/>
      <c r="P142" s="505"/>
      <c r="Q142" s="505"/>
      <c r="R142" s="505"/>
      <c r="S142" s="505"/>
      <c r="T142" s="505"/>
      <c r="U142" s="505"/>
      <c r="V142" s="505"/>
      <c r="W142" s="505"/>
      <c r="X142" s="505"/>
      <c r="Y142" s="505"/>
      <c r="Z142" s="505"/>
      <c r="AA142" s="505"/>
      <c r="AB142" s="505"/>
      <c r="AC142" s="505"/>
      <c r="AD142" s="505"/>
      <c r="AE142" s="505"/>
      <c r="AF142" s="505"/>
      <c r="AG142" s="505"/>
      <c r="AH142" s="505"/>
      <c r="AI142" s="505"/>
      <c r="AJ142" s="505"/>
      <c r="AK142" s="505"/>
      <c r="AL142" s="505"/>
    </row>
    <row r="143" spans="1:38" ht="9.9499999999999993" customHeight="1">
      <c r="A143" s="505"/>
      <c r="B143" s="505"/>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row>
    <row r="144" spans="1:38" ht="9.9499999999999993" customHeight="1">
      <c r="A144" s="505"/>
      <c r="B144" s="505"/>
      <c r="C144" s="505"/>
      <c r="D144" s="505"/>
      <c r="E144" s="505"/>
      <c r="F144" s="505"/>
      <c r="G144" s="505"/>
      <c r="H144" s="505"/>
      <c r="I144" s="505"/>
      <c r="J144" s="505"/>
      <c r="K144" s="505"/>
      <c r="L144" s="505"/>
      <c r="M144" s="505"/>
      <c r="N144" s="505"/>
      <c r="O144" s="505"/>
      <c r="P144" s="505"/>
      <c r="Q144" s="505"/>
      <c r="R144" s="505"/>
      <c r="S144" s="505"/>
      <c r="T144" s="505"/>
      <c r="U144" s="505"/>
      <c r="V144" s="505"/>
      <c r="W144" s="505"/>
      <c r="X144" s="505"/>
      <c r="Y144" s="505"/>
      <c r="Z144" s="505"/>
      <c r="AA144" s="505"/>
      <c r="AB144" s="505"/>
      <c r="AC144" s="505"/>
      <c r="AD144" s="505"/>
      <c r="AE144" s="505"/>
      <c r="AF144" s="505"/>
      <c r="AG144" s="505"/>
      <c r="AH144" s="505"/>
      <c r="AI144" s="505"/>
      <c r="AJ144" s="505"/>
      <c r="AK144" s="505"/>
      <c r="AL144" s="505"/>
    </row>
    <row r="145" spans="1:38" ht="9.9499999999999993" customHeight="1">
      <c r="A145" s="505"/>
      <c r="B145" s="505"/>
      <c r="C145" s="505"/>
      <c r="D145" s="505"/>
      <c r="E145" s="505"/>
      <c r="F145" s="505"/>
      <c r="G145" s="505"/>
      <c r="H145" s="505"/>
      <c r="I145" s="505"/>
      <c r="J145" s="505"/>
      <c r="K145" s="505"/>
      <c r="L145" s="505"/>
      <c r="M145" s="505"/>
      <c r="N145" s="505"/>
      <c r="O145" s="505"/>
      <c r="P145" s="505"/>
      <c r="Q145" s="505"/>
      <c r="R145" s="505"/>
      <c r="S145" s="505"/>
      <c r="T145" s="505"/>
      <c r="U145" s="505"/>
      <c r="V145" s="505"/>
      <c r="W145" s="505"/>
      <c r="X145" s="505"/>
      <c r="Y145" s="505"/>
      <c r="Z145" s="505"/>
      <c r="AA145" s="505"/>
      <c r="AB145" s="505"/>
      <c r="AC145" s="505"/>
      <c r="AD145" s="505"/>
      <c r="AE145" s="505"/>
      <c r="AF145" s="505"/>
      <c r="AG145" s="505"/>
      <c r="AH145" s="505"/>
      <c r="AI145" s="505"/>
      <c r="AJ145" s="505"/>
      <c r="AK145" s="505"/>
      <c r="AL145" s="505"/>
    </row>
    <row r="146" spans="1:38" ht="9.9499999999999993" customHeight="1">
      <c r="A146" s="505"/>
      <c r="B146" s="505"/>
      <c r="C146" s="505"/>
      <c r="D146" s="505"/>
      <c r="E146" s="505"/>
      <c r="F146" s="505"/>
      <c r="G146" s="505"/>
      <c r="H146" s="505"/>
      <c r="I146" s="505"/>
      <c r="J146" s="505"/>
      <c r="K146" s="505"/>
      <c r="L146" s="505"/>
      <c r="M146" s="505"/>
      <c r="N146" s="505"/>
      <c r="O146" s="505"/>
      <c r="P146" s="505"/>
      <c r="Q146" s="505"/>
      <c r="R146" s="505"/>
      <c r="S146" s="505"/>
      <c r="T146" s="505"/>
      <c r="U146" s="505"/>
      <c r="V146" s="505"/>
      <c r="W146" s="505"/>
      <c r="X146" s="505"/>
      <c r="Y146" s="505"/>
      <c r="Z146" s="505"/>
      <c r="AA146" s="505"/>
      <c r="AB146" s="505"/>
      <c r="AC146" s="505"/>
      <c r="AD146" s="505"/>
      <c r="AE146" s="505"/>
      <c r="AF146" s="505"/>
      <c r="AG146" s="505"/>
      <c r="AH146" s="505"/>
      <c r="AI146" s="505"/>
      <c r="AJ146" s="505"/>
      <c r="AK146" s="505"/>
      <c r="AL146" s="505"/>
    </row>
    <row r="147" spans="1:38" ht="9.9499999999999993" customHeight="1">
      <c r="A147" s="505"/>
      <c r="B147" s="505"/>
      <c r="C147" s="505"/>
      <c r="D147" s="505"/>
      <c r="E147" s="505"/>
      <c r="F147" s="505"/>
      <c r="G147" s="505"/>
      <c r="H147" s="505"/>
      <c r="I147" s="505"/>
      <c r="J147" s="505"/>
      <c r="K147" s="505"/>
      <c r="L147" s="505"/>
      <c r="M147" s="505"/>
      <c r="N147" s="505"/>
      <c r="O147" s="505"/>
      <c r="P147" s="505"/>
      <c r="Q147" s="505"/>
      <c r="R147" s="505"/>
      <c r="S147" s="505"/>
      <c r="T147" s="505"/>
      <c r="U147" s="505"/>
      <c r="V147" s="505"/>
      <c r="W147" s="505"/>
      <c r="X147" s="505"/>
      <c r="Y147" s="505"/>
      <c r="Z147" s="505"/>
      <c r="AA147" s="505"/>
      <c r="AB147" s="505"/>
      <c r="AC147" s="505"/>
      <c r="AD147" s="505"/>
      <c r="AE147" s="505"/>
      <c r="AF147" s="505"/>
      <c r="AG147" s="505"/>
      <c r="AH147" s="505"/>
      <c r="AI147" s="505"/>
      <c r="AJ147" s="505"/>
      <c r="AK147" s="505"/>
      <c r="AL147" s="505"/>
    </row>
    <row r="148" spans="1:38" ht="9.9499999999999993" customHeight="1">
      <c r="A148" s="505"/>
      <c r="B148" s="505"/>
      <c r="C148" s="505"/>
      <c r="D148" s="505"/>
      <c r="E148" s="505"/>
      <c r="F148" s="505"/>
      <c r="G148" s="505"/>
      <c r="H148" s="505"/>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row>
    <row r="149" spans="1:38" ht="9.9499999999999993" customHeight="1">
      <c r="A149" s="505"/>
      <c r="B149" s="505"/>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505"/>
      <c r="AE149" s="505"/>
      <c r="AF149" s="505"/>
      <c r="AG149" s="505"/>
      <c r="AH149" s="505"/>
      <c r="AI149" s="505"/>
      <c r="AJ149" s="505"/>
      <c r="AK149" s="505"/>
      <c r="AL149" s="505"/>
    </row>
    <row r="150" spans="1:38" ht="9.9499999999999993" customHeight="1">
      <c r="A150" s="505"/>
      <c r="B150" s="505"/>
      <c r="C150" s="505"/>
      <c r="D150" s="505"/>
      <c r="E150" s="505"/>
      <c r="F150" s="505"/>
      <c r="G150" s="505"/>
      <c r="H150" s="505"/>
      <c r="I150" s="505"/>
      <c r="J150" s="505"/>
      <c r="K150" s="505"/>
      <c r="L150" s="505"/>
      <c r="M150" s="505"/>
      <c r="N150" s="505"/>
      <c r="O150" s="505"/>
      <c r="P150" s="505"/>
      <c r="Q150" s="505"/>
      <c r="R150" s="505"/>
      <c r="S150" s="505"/>
      <c r="T150" s="505"/>
      <c r="U150" s="505"/>
      <c r="V150" s="505"/>
      <c r="W150" s="505"/>
      <c r="X150" s="505"/>
      <c r="Y150" s="505"/>
      <c r="Z150" s="505"/>
      <c r="AA150" s="505"/>
      <c r="AB150" s="505"/>
      <c r="AC150" s="505"/>
      <c r="AD150" s="505"/>
      <c r="AE150" s="505"/>
      <c r="AF150" s="505"/>
      <c r="AG150" s="505"/>
      <c r="AH150" s="505"/>
      <c r="AI150" s="505"/>
      <c r="AJ150" s="505"/>
      <c r="AK150" s="505"/>
      <c r="AL150" s="505"/>
    </row>
    <row r="151" spans="1:38" ht="9.9499999999999993" customHeight="1">
      <c r="A151" s="505"/>
      <c r="B151" s="505"/>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505"/>
      <c r="AE151" s="505"/>
      <c r="AF151" s="505"/>
      <c r="AG151" s="505"/>
      <c r="AH151" s="505"/>
      <c r="AI151" s="505"/>
      <c r="AJ151" s="505"/>
      <c r="AK151" s="505"/>
      <c r="AL151" s="505"/>
    </row>
    <row r="152" spans="1:38" ht="9.9499999999999993" customHeight="1">
      <c r="A152" s="505"/>
      <c r="B152" s="505"/>
      <c r="C152" s="505"/>
      <c r="D152" s="505"/>
      <c r="E152" s="505"/>
      <c r="F152" s="505"/>
      <c r="G152" s="505"/>
      <c r="H152" s="505"/>
      <c r="I152" s="505"/>
      <c r="J152" s="505"/>
      <c r="K152" s="505"/>
      <c r="L152" s="505"/>
      <c r="M152" s="505"/>
      <c r="N152" s="505"/>
      <c r="O152" s="505"/>
      <c r="P152" s="505"/>
      <c r="Q152" s="505"/>
      <c r="R152" s="505"/>
      <c r="S152" s="505"/>
      <c r="T152" s="505"/>
      <c r="U152" s="505"/>
      <c r="V152" s="505"/>
      <c r="W152" s="505"/>
      <c r="X152" s="505"/>
      <c r="Y152" s="505"/>
      <c r="Z152" s="505"/>
      <c r="AA152" s="505"/>
      <c r="AB152" s="505"/>
      <c r="AC152" s="505"/>
      <c r="AD152" s="505"/>
      <c r="AE152" s="505"/>
      <c r="AF152" s="505"/>
      <c r="AG152" s="505"/>
      <c r="AH152" s="505"/>
      <c r="AI152" s="505"/>
      <c r="AJ152" s="505"/>
      <c r="AK152" s="505"/>
      <c r="AL152" s="505"/>
    </row>
    <row r="153" spans="1:38" ht="9.9499999999999993" customHeight="1">
      <c r="A153" s="505"/>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row>
    <row r="154" spans="1:38" ht="9.9499999999999993" customHeight="1">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505"/>
      <c r="AE154" s="505"/>
      <c r="AF154" s="505"/>
      <c r="AG154" s="505"/>
      <c r="AH154" s="505"/>
      <c r="AI154" s="505"/>
      <c r="AJ154" s="505"/>
      <c r="AK154" s="505"/>
      <c r="AL154" s="505"/>
    </row>
    <row r="155" spans="1:38" ht="9.9499999999999993" customHeight="1">
      <c r="A155" s="505"/>
      <c r="B155" s="505"/>
      <c r="C155" s="505"/>
      <c r="D155" s="505"/>
      <c r="E155" s="505"/>
      <c r="F155" s="505"/>
      <c r="G155" s="505"/>
      <c r="H155" s="505"/>
      <c r="I155" s="505"/>
      <c r="J155" s="505"/>
      <c r="K155" s="505"/>
      <c r="L155" s="505"/>
      <c r="M155" s="505"/>
      <c r="N155" s="505"/>
      <c r="O155" s="505"/>
      <c r="P155" s="505"/>
      <c r="Q155" s="505"/>
      <c r="R155" s="505"/>
      <c r="S155" s="505"/>
      <c r="T155" s="505"/>
      <c r="U155" s="505"/>
      <c r="V155" s="505"/>
      <c r="W155" s="505"/>
      <c r="X155" s="505"/>
      <c r="Y155" s="505"/>
      <c r="Z155" s="505"/>
      <c r="AA155" s="505"/>
      <c r="AB155" s="505"/>
      <c r="AC155" s="505"/>
      <c r="AD155" s="505"/>
      <c r="AE155" s="505"/>
      <c r="AF155" s="505"/>
      <c r="AG155" s="505"/>
      <c r="AH155" s="505"/>
      <c r="AI155" s="505"/>
      <c r="AJ155" s="505"/>
      <c r="AK155" s="505"/>
      <c r="AL155" s="505"/>
    </row>
    <row r="156" spans="1:38" ht="9.9499999999999993" customHeight="1">
      <c r="A156" s="505"/>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row>
    <row r="157" spans="1:38" ht="9.9499999999999993" customHeight="1">
      <c r="A157" s="505"/>
      <c r="B157" s="505"/>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505"/>
      <c r="AE157" s="505"/>
      <c r="AF157" s="505"/>
      <c r="AG157" s="505"/>
      <c r="AH157" s="505"/>
      <c r="AI157" s="505"/>
      <c r="AJ157" s="505"/>
      <c r="AK157" s="505"/>
      <c r="AL157" s="505"/>
    </row>
    <row r="158" spans="1:38" ht="9.9499999999999993" customHeight="1">
      <c r="A158" s="505"/>
      <c r="B158" s="505"/>
      <c r="C158" s="505"/>
      <c r="D158" s="505"/>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row>
    <row r="159" spans="1:38" ht="9.9499999999999993" customHeight="1">
      <c r="A159" s="505"/>
      <c r="B159" s="505"/>
      <c r="C159" s="505"/>
      <c r="D159" s="505"/>
      <c r="E159" s="505"/>
      <c r="F159" s="505"/>
      <c r="G159" s="505"/>
      <c r="H159" s="505"/>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505"/>
      <c r="AE159" s="505"/>
      <c r="AF159" s="505"/>
      <c r="AG159" s="505"/>
      <c r="AH159" s="505"/>
      <c r="AI159" s="505"/>
      <c r="AJ159" s="505"/>
      <c r="AK159" s="505"/>
      <c r="AL159" s="505"/>
    </row>
    <row r="160" spans="1:38" ht="9.9499999999999993" customHeight="1">
      <c r="A160" s="505"/>
      <c r="B160" s="505"/>
      <c r="C160" s="505"/>
      <c r="D160" s="505"/>
      <c r="E160" s="505"/>
      <c r="F160" s="505"/>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505"/>
      <c r="AE160" s="505"/>
      <c r="AF160" s="505"/>
      <c r="AG160" s="505"/>
      <c r="AH160" s="505"/>
      <c r="AI160" s="505"/>
      <c r="AJ160" s="505"/>
      <c r="AK160" s="505"/>
      <c r="AL160" s="505"/>
    </row>
    <row r="161" spans="1:38" ht="9.9499999999999993" customHeight="1">
      <c r="A161" s="505"/>
      <c r="B161" s="505"/>
      <c r="C161" s="505"/>
      <c r="D161" s="505"/>
      <c r="E161" s="505"/>
      <c r="F161" s="505"/>
      <c r="G161" s="505"/>
      <c r="H161" s="505"/>
      <c r="I161" s="505"/>
      <c r="J161" s="505"/>
      <c r="K161" s="505"/>
      <c r="L161" s="505"/>
      <c r="M161" s="505"/>
      <c r="N161" s="505"/>
      <c r="O161" s="505"/>
      <c r="P161" s="505"/>
      <c r="Q161" s="505"/>
      <c r="R161" s="505"/>
      <c r="S161" s="505"/>
      <c r="T161" s="505"/>
      <c r="U161" s="505"/>
      <c r="V161" s="505"/>
      <c r="W161" s="505"/>
      <c r="X161" s="505"/>
      <c r="Y161" s="505"/>
      <c r="Z161" s="505"/>
      <c r="AA161" s="505"/>
      <c r="AB161" s="505"/>
      <c r="AC161" s="505"/>
      <c r="AD161" s="505"/>
      <c r="AE161" s="505"/>
      <c r="AF161" s="505"/>
      <c r="AG161" s="505"/>
      <c r="AH161" s="505"/>
      <c r="AI161" s="505"/>
      <c r="AJ161" s="505"/>
      <c r="AK161" s="505"/>
      <c r="AL161" s="505"/>
    </row>
    <row r="162" spans="1:38" ht="9.9499999999999993" customHeight="1">
      <c r="A162" s="505"/>
      <c r="B162" s="505"/>
      <c r="C162" s="505"/>
      <c r="D162" s="505"/>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row>
    <row r="163" spans="1:38" ht="9.9499999999999993" customHeight="1">
      <c r="A163" s="505"/>
      <c r="B163" s="505"/>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row>
    <row r="164" spans="1:38" ht="9.9499999999999993" customHeight="1">
      <c r="A164" s="505"/>
      <c r="B164" s="505"/>
      <c r="C164" s="505"/>
      <c r="D164" s="505"/>
      <c r="E164" s="505"/>
      <c r="F164" s="505"/>
      <c r="G164" s="505"/>
      <c r="H164" s="505"/>
      <c r="I164" s="505"/>
      <c r="J164" s="505"/>
      <c r="K164" s="505"/>
      <c r="L164" s="505"/>
      <c r="M164" s="505"/>
      <c r="N164" s="505"/>
      <c r="O164" s="505"/>
      <c r="P164" s="505"/>
      <c r="Q164" s="505"/>
      <c r="R164" s="505"/>
      <c r="S164" s="505"/>
      <c r="T164" s="505"/>
      <c r="U164" s="505"/>
      <c r="V164" s="505"/>
      <c r="W164" s="505"/>
      <c r="X164" s="505"/>
      <c r="Y164" s="505"/>
      <c r="Z164" s="505"/>
      <c r="AA164" s="505"/>
      <c r="AB164" s="505"/>
      <c r="AC164" s="505"/>
      <c r="AD164" s="505"/>
      <c r="AE164" s="505"/>
      <c r="AF164" s="505"/>
      <c r="AG164" s="505"/>
      <c r="AH164" s="505"/>
      <c r="AI164" s="505"/>
      <c r="AJ164" s="505"/>
      <c r="AK164" s="505"/>
      <c r="AL164" s="505"/>
    </row>
    <row r="165" spans="1:38" ht="9.9499999999999993" customHeight="1">
      <c r="A165" s="505"/>
      <c r="B165" s="505"/>
      <c r="C165" s="505"/>
      <c r="D165" s="505"/>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row>
    <row r="166" spans="1:38" ht="9.9499999999999993" customHeight="1">
      <c r="A166" s="505"/>
      <c r="B166" s="505"/>
      <c r="C166" s="505"/>
      <c r="D166" s="505"/>
      <c r="E166" s="505"/>
      <c r="F166" s="505"/>
      <c r="G166" s="505"/>
      <c r="H166" s="505"/>
      <c r="I166" s="505"/>
      <c r="J166" s="505"/>
      <c r="K166" s="505"/>
      <c r="L166" s="505"/>
      <c r="M166" s="505"/>
      <c r="N166" s="505"/>
      <c r="O166" s="505"/>
      <c r="P166" s="505"/>
      <c r="Q166" s="505"/>
      <c r="R166" s="505"/>
      <c r="S166" s="505"/>
      <c r="T166" s="505"/>
      <c r="U166" s="505"/>
      <c r="V166" s="505"/>
      <c r="W166" s="505"/>
      <c r="X166" s="505"/>
      <c r="Y166" s="505"/>
      <c r="Z166" s="505"/>
      <c r="AA166" s="505"/>
      <c r="AB166" s="505"/>
      <c r="AC166" s="505"/>
      <c r="AD166" s="505"/>
      <c r="AE166" s="505"/>
      <c r="AF166" s="505"/>
      <c r="AG166" s="505"/>
      <c r="AH166" s="505"/>
      <c r="AI166" s="505"/>
      <c r="AJ166" s="505"/>
      <c r="AK166" s="505"/>
      <c r="AL166" s="505"/>
    </row>
    <row r="167" spans="1:38" ht="9.9499999999999993" customHeight="1">
      <c r="A167" s="505"/>
      <c r="B167" s="505"/>
      <c r="C167" s="505"/>
      <c r="D167" s="505"/>
      <c r="E167" s="505"/>
      <c r="F167" s="505"/>
      <c r="G167" s="505"/>
      <c r="H167" s="505"/>
      <c r="I167" s="505"/>
      <c r="J167" s="505"/>
      <c r="K167" s="505"/>
      <c r="L167" s="505"/>
      <c r="M167" s="505"/>
      <c r="N167" s="505"/>
      <c r="O167" s="505"/>
      <c r="P167" s="505"/>
      <c r="Q167" s="505"/>
      <c r="R167" s="505"/>
      <c r="S167" s="505"/>
      <c r="T167" s="505"/>
      <c r="U167" s="505"/>
      <c r="V167" s="505"/>
      <c r="W167" s="505"/>
      <c r="X167" s="505"/>
      <c r="Y167" s="505"/>
      <c r="Z167" s="505"/>
      <c r="AA167" s="505"/>
      <c r="AB167" s="505"/>
      <c r="AC167" s="505"/>
      <c r="AD167" s="505"/>
      <c r="AE167" s="505"/>
      <c r="AF167" s="505"/>
      <c r="AG167" s="505"/>
      <c r="AH167" s="505"/>
      <c r="AI167" s="505"/>
      <c r="AJ167" s="505"/>
      <c r="AK167" s="505"/>
      <c r="AL167" s="505"/>
    </row>
    <row r="168" spans="1:38" ht="9.9499999999999993" customHeight="1">
      <c r="A168" s="505"/>
      <c r="B168" s="505"/>
      <c r="C168" s="505"/>
      <c r="D168" s="505"/>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505"/>
      <c r="AE168" s="505"/>
      <c r="AF168" s="505"/>
      <c r="AG168" s="505"/>
      <c r="AH168" s="505"/>
      <c r="AI168" s="505"/>
      <c r="AJ168" s="505"/>
      <c r="AK168" s="505"/>
      <c r="AL168" s="505"/>
    </row>
    <row r="169" spans="1:38" ht="9.9499999999999993" customHeight="1">
      <c r="A169" s="505"/>
      <c r="B169" s="505"/>
      <c r="C169" s="505"/>
      <c r="D169" s="505"/>
      <c r="E169" s="505"/>
      <c r="F169" s="505"/>
      <c r="G169" s="505"/>
      <c r="H169" s="505"/>
      <c r="I169" s="505"/>
      <c r="J169" s="505"/>
      <c r="K169" s="505"/>
      <c r="L169" s="505"/>
      <c r="M169" s="505"/>
      <c r="N169" s="505"/>
      <c r="O169" s="505"/>
      <c r="P169" s="505"/>
      <c r="Q169" s="505"/>
      <c r="R169" s="505"/>
      <c r="S169" s="505"/>
      <c r="T169" s="505"/>
      <c r="U169" s="505"/>
      <c r="V169" s="505"/>
      <c r="W169" s="505"/>
      <c r="X169" s="505"/>
      <c r="Y169" s="505"/>
      <c r="Z169" s="505"/>
      <c r="AA169" s="505"/>
      <c r="AB169" s="505"/>
      <c r="AC169" s="505"/>
      <c r="AD169" s="505"/>
      <c r="AE169" s="505"/>
      <c r="AF169" s="505"/>
      <c r="AG169" s="505"/>
      <c r="AH169" s="505"/>
      <c r="AI169" s="505"/>
      <c r="AJ169" s="505"/>
      <c r="AK169" s="505"/>
      <c r="AL169" s="505"/>
    </row>
    <row r="170" spans="1:38" ht="9.9499999999999993" customHeight="1">
      <c r="A170" s="505"/>
      <c r="B170" s="505"/>
      <c r="C170" s="505"/>
      <c r="D170" s="505"/>
      <c r="E170" s="505"/>
      <c r="F170" s="505"/>
      <c r="G170" s="505"/>
      <c r="H170" s="505"/>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row>
    <row r="171" spans="1:38" ht="9.9499999999999993" customHeight="1">
      <c r="A171" s="505"/>
      <c r="B171" s="505"/>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505"/>
      <c r="AF171" s="505"/>
      <c r="AG171" s="505"/>
      <c r="AH171" s="505"/>
      <c r="AI171" s="505"/>
      <c r="AJ171" s="505"/>
      <c r="AK171" s="505"/>
      <c r="AL171" s="505"/>
    </row>
    <row r="172" spans="1:38" ht="9.9499999999999993" customHeight="1">
      <c r="A172" s="505"/>
      <c r="B172" s="505"/>
      <c r="C172" s="505"/>
      <c r="D172" s="505"/>
      <c r="E172" s="505"/>
      <c r="F172" s="505"/>
      <c r="G172" s="505"/>
      <c r="H172" s="505"/>
      <c r="I172" s="505"/>
      <c r="J172" s="505"/>
      <c r="K172" s="505"/>
      <c r="L172" s="505"/>
      <c r="M172" s="505"/>
      <c r="N172" s="505"/>
      <c r="O172" s="505"/>
      <c r="P172" s="505"/>
      <c r="Q172" s="505"/>
      <c r="R172" s="505"/>
      <c r="S172" s="505"/>
      <c r="T172" s="505"/>
      <c r="U172" s="505"/>
      <c r="V172" s="505"/>
      <c r="W172" s="505"/>
      <c r="X172" s="505"/>
      <c r="Y172" s="505"/>
      <c r="Z172" s="505"/>
      <c r="AA172" s="505"/>
      <c r="AB172" s="505"/>
      <c r="AC172" s="505"/>
      <c r="AD172" s="505"/>
      <c r="AE172" s="505"/>
      <c r="AF172" s="505"/>
      <c r="AG172" s="505"/>
      <c r="AH172" s="505"/>
      <c r="AI172" s="505"/>
      <c r="AJ172" s="505"/>
      <c r="AK172" s="505"/>
      <c r="AL172" s="505"/>
    </row>
    <row r="173" spans="1:38" ht="9.9499999999999993" customHeight="1">
      <c r="A173" s="505"/>
      <c r="B173" s="505"/>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505"/>
      <c r="AF173" s="505"/>
      <c r="AG173" s="505"/>
      <c r="AH173" s="505"/>
      <c r="AI173" s="505"/>
      <c r="AJ173" s="505"/>
      <c r="AK173" s="505"/>
      <c r="AL173" s="505"/>
    </row>
    <row r="174" spans="1:38" ht="9.9499999999999993" customHeight="1">
      <c r="A174" s="505"/>
      <c r="B174" s="505"/>
      <c r="C174" s="505"/>
      <c r="D174" s="505"/>
      <c r="E174" s="505"/>
      <c r="F174" s="505"/>
      <c r="G174" s="505"/>
      <c r="H174" s="505"/>
      <c r="I174" s="505"/>
      <c r="J174" s="505"/>
      <c r="K174" s="505"/>
      <c r="L174" s="505"/>
      <c r="M174" s="505"/>
      <c r="N174" s="505"/>
      <c r="O174" s="505"/>
      <c r="P174" s="505"/>
      <c r="Q174" s="505"/>
      <c r="R174" s="505"/>
      <c r="S174" s="505"/>
      <c r="T174" s="505"/>
      <c r="U174" s="505"/>
      <c r="V174" s="505"/>
      <c r="W174" s="505"/>
      <c r="X174" s="505"/>
      <c r="Y174" s="505"/>
      <c r="Z174" s="505"/>
      <c r="AA174" s="505"/>
      <c r="AB174" s="505"/>
      <c r="AC174" s="505"/>
      <c r="AD174" s="505"/>
      <c r="AE174" s="505"/>
      <c r="AF174" s="505"/>
      <c r="AG174" s="505"/>
      <c r="AH174" s="505"/>
      <c r="AI174" s="505"/>
      <c r="AJ174" s="505"/>
      <c r="AK174" s="505"/>
      <c r="AL174" s="505"/>
    </row>
    <row r="175" spans="1:38" ht="9.9499999999999993" customHeight="1">
      <c r="A175" s="505"/>
      <c r="B175" s="505"/>
      <c r="C175" s="505"/>
      <c r="D175" s="505"/>
      <c r="E175" s="505"/>
      <c r="F175" s="505"/>
      <c r="G175" s="505"/>
      <c r="H175" s="505"/>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row>
    <row r="176" spans="1:38" ht="9.9499999999999993" customHeight="1">
      <c r="A176" s="505"/>
      <c r="B176" s="505"/>
      <c r="C176" s="505"/>
      <c r="D176" s="505"/>
      <c r="E176" s="505"/>
      <c r="F176" s="505"/>
      <c r="G176" s="505"/>
      <c r="H176" s="505"/>
      <c r="I176" s="505"/>
      <c r="J176" s="505"/>
      <c r="K176" s="505"/>
      <c r="L176" s="505"/>
      <c r="M176" s="505"/>
      <c r="N176" s="505"/>
      <c r="O176" s="505"/>
      <c r="P176" s="505"/>
      <c r="Q176" s="505"/>
      <c r="R176" s="505"/>
      <c r="S176" s="505"/>
      <c r="T176" s="505"/>
      <c r="U176" s="505"/>
      <c r="V176" s="505"/>
      <c r="W176" s="505"/>
      <c r="X176" s="505"/>
      <c r="Y176" s="505"/>
      <c r="Z176" s="505"/>
      <c r="AA176" s="505"/>
      <c r="AB176" s="505"/>
      <c r="AC176" s="505"/>
      <c r="AD176" s="505"/>
      <c r="AE176" s="505"/>
      <c r="AF176" s="505"/>
      <c r="AG176" s="505"/>
      <c r="AH176" s="505"/>
      <c r="AI176" s="505"/>
      <c r="AJ176" s="505"/>
      <c r="AK176" s="505"/>
      <c r="AL176" s="505"/>
    </row>
    <row r="177" spans="1:38" ht="9.9499999999999993" customHeight="1">
      <c r="A177" s="505"/>
      <c r="B177" s="505"/>
      <c r="C177" s="505"/>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row>
    <row r="178" spans="1:38" ht="9.9499999999999993" customHeight="1">
      <c r="A178" s="505"/>
      <c r="B178" s="505"/>
      <c r="C178" s="505"/>
      <c r="D178" s="505"/>
      <c r="E178" s="505"/>
      <c r="F178" s="505"/>
      <c r="G178" s="505"/>
      <c r="H178" s="505"/>
      <c r="I178" s="505"/>
      <c r="J178" s="505"/>
      <c r="K178" s="505"/>
      <c r="L178" s="505"/>
      <c r="M178" s="505"/>
      <c r="N178" s="505"/>
      <c r="O178" s="505"/>
      <c r="P178" s="505"/>
      <c r="Q178" s="505"/>
      <c r="R178" s="505"/>
      <c r="S178" s="505"/>
      <c r="T178" s="505"/>
      <c r="U178" s="505"/>
      <c r="V178" s="505"/>
      <c r="W178" s="505"/>
      <c r="X178" s="505"/>
      <c r="Y178" s="505"/>
      <c r="Z178" s="505"/>
      <c r="AA178" s="505"/>
      <c r="AB178" s="505"/>
      <c r="AC178" s="505"/>
      <c r="AD178" s="505"/>
      <c r="AE178" s="505"/>
      <c r="AF178" s="505"/>
      <c r="AG178" s="505"/>
      <c r="AH178" s="505"/>
      <c r="AI178" s="505"/>
      <c r="AJ178" s="505"/>
      <c r="AK178" s="505"/>
      <c r="AL178" s="505"/>
    </row>
    <row r="179" spans="1:38" ht="9.9499999999999993" customHeight="1">
      <c r="A179" s="505"/>
      <c r="B179" s="505"/>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505"/>
      <c r="AF179" s="505"/>
      <c r="AG179" s="505"/>
      <c r="AH179" s="505"/>
      <c r="AI179" s="505"/>
      <c r="AJ179" s="505"/>
      <c r="AK179" s="505"/>
      <c r="AL179" s="505"/>
    </row>
    <row r="180" spans="1:38" ht="9.9499999999999993" customHeight="1">
      <c r="A180" s="505"/>
      <c r="B180" s="505"/>
      <c r="C180" s="505"/>
      <c r="D180" s="505"/>
      <c r="E180" s="505"/>
      <c r="F180" s="505"/>
      <c r="G180" s="505"/>
      <c r="H180" s="505"/>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row>
    <row r="181" spans="1:38" ht="9.9499999999999993" customHeight="1">
      <c r="A181" s="505"/>
      <c r="B181" s="505"/>
      <c r="C181" s="505"/>
      <c r="D181" s="505"/>
      <c r="E181" s="505"/>
      <c r="F181" s="505"/>
      <c r="G181" s="505"/>
      <c r="H181" s="505"/>
      <c r="I181" s="505"/>
      <c r="J181" s="505"/>
      <c r="K181" s="505"/>
      <c r="L181" s="505"/>
      <c r="M181" s="505"/>
      <c r="N181" s="505"/>
      <c r="O181" s="505"/>
      <c r="P181" s="505"/>
      <c r="Q181" s="505"/>
      <c r="R181" s="505"/>
      <c r="S181" s="505"/>
      <c r="T181" s="505"/>
      <c r="U181" s="505"/>
      <c r="V181" s="505"/>
      <c r="W181" s="505"/>
      <c r="X181" s="505"/>
      <c r="Y181" s="505"/>
      <c r="Z181" s="505"/>
      <c r="AA181" s="505"/>
      <c r="AB181" s="505"/>
      <c r="AC181" s="505"/>
      <c r="AD181" s="505"/>
      <c r="AE181" s="505"/>
      <c r="AF181" s="505"/>
      <c r="AG181" s="505"/>
      <c r="AH181" s="505"/>
      <c r="AI181" s="505"/>
      <c r="AJ181" s="505"/>
      <c r="AK181" s="505"/>
      <c r="AL181" s="505"/>
    </row>
    <row r="182" spans="1:38" ht="9.9499999999999993" customHeight="1">
      <c r="A182" s="505"/>
      <c r="B182" s="505"/>
      <c r="C182" s="505"/>
      <c r="D182" s="505"/>
      <c r="E182" s="505"/>
      <c r="F182" s="505"/>
      <c r="G182" s="505"/>
      <c r="H182" s="505"/>
      <c r="I182" s="505"/>
      <c r="J182" s="505"/>
      <c r="K182" s="505"/>
      <c r="L182" s="505"/>
      <c r="M182" s="505"/>
      <c r="N182" s="505"/>
      <c r="O182" s="505"/>
      <c r="P182" s="505"/>
      <c r="Q182" s="505"/>
      <c r="R182" s="505"/>
      <c r="S182" s="505"/>
      <c r="T182" s="505"/>
      <c r="U182" s="505"/>
      <c r="V182" s="505"/>
      <c r="W182" s="505"/>
      <c r="X182" s="505"/>
      <c r="Y182" s="505"/>
      <c r="Z182" s="505"/>
      <c r="AA182" s="505"/>
      <c r="AB182" s="505"/>
      <c r="AC182" s="505"/>
      <c r="AD182" s="505"/>
      <c r="AE182" s="505"/>
      <c r="AF182" s="505"/>
      <c r="AG182" s="505"/>
      <c r="AH182" s="505"/>
      <c r="AI182" s="505"/>
      <c r="AJ182" s="505"/>
      <c r="AK182" s="505"/>
      <c r="AL182" s="505"/>
    </row>
    <row r="183" spans="1:38" ht="9.9499999999999993" customHeight="1">
      <c r="A183" s="505"/>
      <c r="B183" s="505"/>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row>
    <row r="184" spans="1:38" ht="9.9499999999999993" customHeight="1">
      <c r="A184" s="505"/>
      <c r="B184" s="505"/>
      <c r="C184" s="505"/>
      <c r="D184" s="505"/>
      <c r="E184" s="505"/>
      <c r="F184" s="505"/>
      <c r="G184" s="505"/>
      <c r="H184" s="505"/>
      <c r="I184" s="505"/>
      <c r="J184" s="505"/>
      <c r="K184" s="505"/>
      <c r="L184" s="505"/>
      <c r="M184" s="505"/>
      <c r="N184" s="505"/>
      <c r="O184" s="505"/>
      <c r="P184" s="505"/>
      <c r="Q184" s="505"/>
      <c r="R184" s="505"/>
      <c r="S184" s="505"/>
      <c r="T184" s="505"/>
      <c r="U184" s="505"/>
      <c r="V184" s="505"/>
      <c r="W184" s="505"/>
      <c r="X184" s="505"/>
      <c r="Y184" s="505"/>
      <c r="Z184" s="505"/>
      <c r="AA184" s="505"/>
      <c r="AB184" s="505"/>
      <c r="AC184" s="505"/>
      <c r="AD184" s="505"/>
      <c r="AE184" s="505"/>
      <c r="AF184" s="505"/>
      <c r="AG184" s="505"/>
      <c r="AH184" s="505"/>
      <c r="AI184" s="505"/>
      <c r="AJ184" s="505"/>
      <c r="AK184" s="505"/>
      <c r="AL184" s="505"/>
    </row>
    <row r="185" spans="1:38" ht="9.9499999999999993" customHeight="1">
      <c r="A185" s="505"/>
      <c r="B185" s="505"/>
      <c r="C185" s="505"/>
      <c r="D185" s="505"/>
      <c r="E185" s="505"/>
      <c r="F185" s="505"/>
      <c r="G185" s="505"/>
      <c r="H185" s="505"/>
      <c r="I185" s="505"/>
      <c r="J185" s="505"/>
      <c r="K185" s="505"/>
      <c r="L185" s="505"/>
      <c r="M185" s="505"/>
      <c r="N185" s="505"/>
      <c r="O185" s="505"/>
      <c r="P185" s="505"/>
      <c r="Q185" s="505"/>
      <c r="R185" s="505"/>
      <c r="S185" s="505"/>
      <c r="T185" s="505"/>
      <c r="U185" s="505"/>
      <c r="V185" s="505"/>
      <c r="W185" s="505"/>
      <c r="X185" s="505"/>
      <c r="Y185" s="505"/>
      <c r="Z185" s="505"/>
      <c r="AA185" s="505"/>
      <c r="AB185" s="505"/>
      <c r="AC185" s="505"/>
      <c r="AD185" s="505"/>
      <c r="AE185" s="505"/>
      <c r="AF185" s="505"/>
      <c r="AG185" s="505"/>
      <c r="AH185" s="505"/>
      <c r="AI185" s="505"/>
      <c r="AJ185" s="505"/>
      <c r="AK185" s="505"/>
      <c r="AL185" s="505"/>
    </row>
    <row r="186" spans="1:38" ht="9.9499999999999993" customHeight="1">
      <c r="A186" s="505"/>
      <c r="B186" s="505"/>
      <c r="C186" s="505"/>
      <c r="D186" s="505"/>
      <c r="E186" s="505"/>
      <c r="F186" s="505"/>
      <c r="G186" s="505"/>
      <c r="H186" s="505"/>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row>
    <row r="187" spans="1:38" ht="9.9499999999999993" customHeight="1">
      <c r="A187" s="505"/>
      <c r="B187" s="505"/>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5"/>
      <c r="Z187" s="505"/>
      <c r="AA187" s="505"/>
      <c r="AB187" s="505"/>
      <c r="AC187" s="505"/>
      <c r="AD187" s="505"/>
      <c r="AE187" s="505"/>
      <c r="AF187" s="505"/>
      <c r="AG187" s="505"/>
      <c r="AH187" s="505"/>
      <c r="AI187" s="505"/>
      <c r="AJ187" s="505"/>
      <c r="AK187" s="505"/>
      <c r="AL187" s="505"/>
    </row>
    <row r="188" spans="1:38" ht="9.9499999999999993" customHeight="1">
      <c r="A188" s="505"/>
      <c r="B188" s="505"/>
      <c r="C188" s="505"/>
      <c r="D188" s="505"/>
      <c r="E188" s="505"/>
      <c r="F188" s="505"/>
      <c r="G188" s="505"/>
      <c r="H188" s="505"/>
      <c r="I188" s="505"/>
      <c r="J188" s="505"/>
      <c r="K188" s="505"/>
      <c r="L188" s="505"/>
      <c r="M188" s="505"/>
      <c r="N188" s="505"/>
      <c r="O188" s="505"/>
      <c r="P188" s="505"/>
      <c r="Q188" s="505"/>
      <c r="R188" s="505"/>
      <c r="S188" s="505"/>
      <c r="T188" s="505"/>
      <c r="U188" s="505"/>
      <c r="V188" s="505"/>
      <c r="W188" s="505"/>
      <c r="X188" s="505"/>
      <c r="Y188" s="505"/>
      <c r="Z188" s="505"/>
      <c r="AA188" s="505"/>
      <c r="AB188" s="505"/>
      <c r="AC188" s="505"/>
      <c r="AD188" s="505"/>
      <c r="AE188" s="505"/>
      <c r="AF188" s="505"/>
      <c r="AG188" s="505"/>
      <c r="AH188" s="505"/>
      <c r="AI188" s="505"/>
      <c r="AJ188" s="505"/>
      <c r="AK188" s="505"/>
      <c r="AL188" s="505"/>
    </row>
    <row r="189" spans="1:38" ht="9.9499999999999993" customHeight="1">
      <c r="A189" s="505"/>
      <c r="B189" s="505"/>
      <c r="C189" s="505"/>
      <c r="D189" s="505"/>
      <c r="E189" s="505"/>
      <c r="F189" s="505"/>
      <c r="G189" s="505"/>
      <c r="H189" s="505"/>
      <c r="I189" s="505"/>
      <c r="J189" s="505"/>
      <c r="K189" s="505"/>
      <c r="L189" s="505"/>
      <c r="M189" s="505"/>
      <c r="N189" s="505"/>
      <c r="O189" s="505"/>
      <c r="P189" s="505"/>
      <c r="Q189" s="505"/>
      <c r="R189" s="505"/>
      <c r="S189" s="505"/>
      <c r="T189" s="505"/>
      <c r="U189" s="505"/>
      <c r="V189" s="505"/>
      <c r="W189" s="505"/>
      <c r="X189" s="505"/>
      <c r="Y189" s="505"/>
      <c r="Z189" s="505"/>
      <c r="AA189" s="505"/>
      <c r="AB189" s="505"/>
      <c r="AC189" s="505"/>
      <c r="AD189" s="505"/>
      <c r="AE189" s="505"/>
      <c r="AF189" s="505"/>
      <c r="AG189" s="505"/>
      <c r="AH189" s="505"/>
      <c r="AI189" s="505"/>
      <c r="AJ189" s="505"/>
      <c r="AK189" s="505"/>
      <c r="AL189" s="505"/>
    </row>
    <row r="190" spans="1:38" ht="9.9499999999999993" customHeight="1">
      <c r="A190" s="505"/>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row>
    <row r="191" spans="1:38" ht="9.9499999999999993" customHeight="1">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505"/>
      <c r="AE191" s="505"/>
      <c r="AF191" s="505"/>
      <c r="AG191" s="505"/>
      <c r="AH191" s="505"/>
      <c r="AI191" s="505"/>
      <c r="AJ191" s="505"/>
      <c r="AK191" s="505"/>
      <c r="AL191" s="505"/>
    </row>
    <row r="192" spans="1:38" ht="9.9499999999999993" customHeight="1">
      <c r="A192" s="505"/>
      <c r="B192" s="505"/>
      <c r="C192" s="505"/>
      <c r="D192" s="505"/>
      <c r="E192" s="505"/>
      <c r="F192" s="505"/>
      <c r="G192" s="505"/>
      <c r="H192" s="505"/>
      <c r="I192" s="505"/>
      <c r="J192" s="505"/>
      <c r="K192" s="505"/>
      <c r="L192" s="505"/>
      <c r="M192" s="505"/>
      <c r="N192" s="505"/>
      <c r="O192" s="505"/>
      <c r="P192" s="505"/>
      <c r="Q192" s="505"/>
      <c r="R192" s="505"/>
      <c r="S192" s="505"/>
      <c r="T192" s="505"/>
      <c r="U192" s="505"/>
      <c r="V192" s="505"/>
      <c r="W192" s="505"/>
      <c r="X192" s="505"/>
      <c r="Y192" s="505"/>
      <c r="Z192" s="505"/>
      <c r="AA192" s="505"/>
      <c r="AB192" s="505"/>
      <c r="AC192" s="505"/>
      <c r="AD192" s="505"/>
      <c r="AE192" s="505"/>
      <c r="AF192" s="505"/>
      <c r="AG192" s="505"/>
      <c r="AH192" s="505"/>
      <c r="AI192" s="505"/>
      <c r="AJ192" s="505"/>
      <c r="AK192" s="505"/>
      <c r="AL192" s="505"/>
    </row>
    <row r="193" spans="1:38" ht="9.9499999999999993" customHeight="1">
      <c r="A193" s="505"/>
      <c r="B193" s="505"/>
      <c r="C193" s="505"/>
      <c r="D193" s="505"/>
      <c r="E193" s="505"/>
      <c r="F193" s="505"/>
      <c r="G193" s="505"/>
      <c r="H193" s="505"/>
      <c r="I193" s="505"/>
      <c r="J193" s="505"/>
      <c r="K193" s="505"/>
      <c r="L193" s="505"/>
      <c r="M193" s="505"/>
      <c r="N193" s="505"/>
      <c r="O193" s="505"/>
      <c r="P193" s="505"/>
      <c r="Q193" s="505"/>
      <c r="R193" s="505"/>
      <c r="S193" s="505"/>
      <c r="T193" s="505"/>
      <c r="U193" s="505"/>
      <c r="V193" s="505"/>
      <c r="W193" s="505"/>
      <c r="X193" s="505"/>
      <c r="Y193" s="505"/>
      <c r="Z193" s="505"/>
      <c r="AA193" s="505"/>
      <c r="AB193" s="505"/>
      <c r="AC193" s="505"/>
      <c r="AD193" s="505"/>
      <c r="AE193" s="505"/>
      <c r="AF193" s="505"/>
      <c r="AG193" s="505"/>
      <c r="AH193" s="505"/>
      <c r="AI193" s="505"/>
      <c r="AJ193" s="505"/>
      <c r="AK193" s="505"/>
      <c r="AL193" s="505"/>
    </row>
    <row r="194" spans="1:38" ht="9.9499999999999993" customHeight="1">
      <c r="A194" s="505"/>
      <c r="B194" s="505"/>
      <c r="C194" s="505"/>
      <c r="D194" s="505"/>
      <c r="E194" s="505"/>
      <c r="F194" s="505"/>
      <c r="G194" s="505"/>
      <c r="H194" s="505"/>
      <c r="I194" s="505"/>
      <c r="J194" s="505"/>
      <c r="K194" s="505"/>
      <c r="L194" s="505"/>
      <c r="M194" s="505"/>
      <c r="N194" s="505"/>
      <c r="O194" s="505"/>
      <c r="P194" s="505"/>
      <c r="Q194" s="505"/>
      <c r="R194" s="505"/>
      <c r="S194" s="505"/>
      <c r="T194" s="505"/>
      <c r="U194" s="505"/>
      <c r="V194" s="505"/>
      <c r="W194" s="505"/>
      <c r="X194" s="505"/>
      <c r="Y194" s="505"/>
      <c r="Z194" s="505"/>
      <c r="AA194" s="505"/>
      <c r="AB194" s="505"/>
      <c r="AC194" s="505"/>
      <c r="AD194" s="505"/>
      <c r="AE194" s="505"/>
      <c r="AF194" s="505"/>
      <c r="AG194" s="505"/>
      <c r="AH194" s="505"/>
      <c r="AI194" s="505"/>
      <c r="AJ194" s="505"/>
      <c r="AK194" s="505"/>
      <c r="AL194" s="505"/>
    </row>
    <row r="195" spans="1:38" ht="9.9499999999999993" customHeight="1">
      <c r="A195" s="505"/>
      <c r="B195" s="505"/>
      <c r="C195" s="505"/>
      <c r="D195" s="505"/>
      <c r="E195" s="505"/>
      <c r="F195" s="505"/>
      <c r="G195" s="505"/>
      <c r="H195" s="505"/>
      <c r="I195" s="505"/>
      <c r="J195" s="505"/>
      <c r="K195" s="505"/>
      <c r="L195" s="505"/>
      <c r="M195" s="505"/>
      <c r="N195" s="505"/>
      <c r="O195" s="505"/>
      <c r="P195" s="505"/>
      <c r="Q195" s="505"/>
      <c r="R195" s="505"/>
      <c r="S195" s="505"/>
      <c r="T195" s="505"/>
      <c r="U195" s="505"/>
      <c r="V195" s="505"/>
      <c r="W195" s="505"/>
      <c r="X195" s="505"/>
      <c r="Y195" s="505"/>
      <c r="Z195" s="505"/>
      <c r="AA195" s="505"/>
      <c r="AB195" s="505"/>
      <c r="AC195" s="505"/>
      <c r="AD195" s="505"/>
      <c r="AE195" s="505"/>
      <c r="AF195" s="505"/>
      <c r="AG195" s="505"/>
      <c r="AH195" s="505"/>
      <c r="AI195" s="505"/>
      <c r="AJ195" s="505"/>
      <c r="AK195" s="505"/>
      <c r="AL195" s="505"/>
    </row>
    <row r="196" spans="1:38" ht="9.9499999999999993" customHeight="1">
      <c r="A196" s="505"/>
      <c r="B196" s="505"/>
      <c r="C196" s="505"/>
      <c r="D196" s="505"/>
      <c r="E196" s="505"/>
      <c r="F196" s="505"/>
      <c r="G196" s="505"/>
      <c r="H196" s="505"/>
      <c r="I196" s="505"/>
      <c r="J196" s="505"/>
      <c r="K196" s="505"/>
      <c r="L196" s="505"/>
      <c r="M196" s="505"/>
      <c r="N196" s="505"/>
      <c r="O196" s="505"/>
      <c r="P196" s="505"/>
      <c r="Q196" s="505"/>
      <c r="R196" s="505"/>
      <c r="S196" s="505"/>
      <c r="T196" s="505"/>
      <c r="U196" s="505"/>
      <c r="V196" s="505"/>
      <c r="W196" s="505"/>
      <c r="X196" s="505"/>
      <c r="Y196" s="505"/>
      <c r="Z196" s="505"/>
      <c r="AA196" s="505"/>
      <c r="AB196" s="505"/>
      <c r="AC196" s="505"/>
      <c r="AD196" s="505"/>
      <c r="AE196" s="505"/>
      <c r="AF196" s="505"/>
      <c r="AG196" s="505"/>
      <c r="AH196" s="505"/>
      <c r="AI196" s="505"/>
      <c r="AJ196" s="505"/>
      <c r="AK196" s="505"/>
      <c r="AL196" s="505"/>
    </row>
    <row r="197" spans="1:38" ht="9.9499999999999993" customHeight="1">
      <c r="A197" s="505"/>
      <c r="B197" s="505"/>
      <c r="C197" s="505"/>
      <c r="D197" s="505"/>
      <c r="E197" s="505"/>
      <c r="F197" s="505"/>
      <c r="G197" s="505"/>
      <c r="H197" s="505"/>
      <c r="I197" s="505"/>
      <c r="J197" s="505"/>
      <c r="K197" s="505"/>
      <c r="L197" s="505"/>
      <c r="M197" s="505"/>
      <c r="N197" s="505"/>
      <c r="O197" s="505"/>
      <c r="P197" s="505"/>
      <c r="Q197" s="505"/>
      <c r="R197" s="505"/>
      <c r="S197" s="505"/>
      <c r="T197" s="505"/>
      <c r="U197" s="505"/>
      <c r="V197" s="505"/>
      <c r="W197" s="505"/>
      <c r="X197" s="505"/>
      <c r="Y197" s="505"/>
      <c r="Z197" s="505"/>
      <c r="AA197" s="505"/>
      <c r="AB197" s="505"/>
      <c r="AC197" s="505"/>
      <c r="AD197" s="505"/>
      <c r="AE197" s="505"/>
      <c r="AF197" s="505"/>
      <c r="AG197" s="505"/>
      <c r="AH197" s="505"/>
      <c r="AI197" s="505"/>
      <c r="AJ197" s="505"/>
      <c r="AK197" s="505"/>
      <c r="AL197" s="505"/>
    </row>
    <row r="198" spans="1:38" ht="9.9499999999999993" customHeight="1">
      <c r="A198" s="505"/>
      <c r="B198" s="505"/>
      <c r="C198" s="505"/>
      <c r="D198" s="505"/>
      <c r="E198" s="505"/>
      <c r="F198" s="505"/>
      <c r="G198" s="505"/>
      <c r="H198" s="505"/>
      <c r="I198" s="505"/>
      <c r="J198" s="505"/>
      <c r="K198" s="505"/>
      <c r="L198" s="505"/>
      <c r="M198" s="505"/>
      <c r="N198" s="505"/>
      <c r="O198" s="505"/>
      <c r="P198" s="505"/>
      <c r="Q198" s="505"/>
      <c r="R198" s="505"/>
      <c r="S198" s="505"/>
      <c r="T198" s="505"/>
      <c r="U198" s="505"/>
      <c r="V198" s="505"/>
      <c r="W198" s="505"/>
      <c r="X198" s="505"/>
      <c r="Y198" s="505"/>
      <c r="Z198" s="505"/>
      <c r="AA198" s="505"/>
      <c r="AB198" s="505"/>
      <c r="AC198" s="505"/>
      <c r="AD198" s="505"/>
      <c r="AE198" s="505"/>
      <c r="AF198" s="505"/>
      <c r="AG198" s="505"/>
      <c r="AH198" s="505"/>
      <c r="AI198" s="505"/>
      <c r="AJ198" s="505"/>
      <c r="AK198" s="505"/>
      <c r="AL198" s="505"/>
    </row>
    <row r="199" spans="1:38" ht="9.9499999999999993" customHeight="1">
      <c r="A199" s="505"/>
      <c r="B199" s="505"/>
      <c r="C199" s="505"/>
      <c r="D199" s="505"/>
      <c r="E199" s="505"/>
      <c r="F199" s="505"/>
      <c r="G199" s="505"/>
      <c r="H199" s="505"/>
      <c r="I199" s="505"/>
      <c r="J199" s="505"/>
      <c r="K199" s="505"/>
      <c r="L199" s="505"/>
      <c r="M199" s="505"/>
      <c r="N199" s="505"/>
      <c r="O199" s="505"/>
      <c r="P199" s="505"/>
      <c r="Q199" s="505"/>
      <c r="R199" s="505"/>
      <c r="S199" s="505"/>
      <c r="T199" s="505"/>
      <c r="U199" s="505"/>
      <c r="V199" s="505"/>
      <c r="W199" s="505"/>
      <c r="X199" s="505"/>
      <c r="Y199" s="505"/>
      <c r="Z199" s="505"/>
      <c r="AA199" s="505"/>
      <c r="AB199" s="505"/>
      <c r="AC199" s="505"/>
      <c r="AD199" s="505"/>
      <c r="AE199" s="505"/>
      <c r="AF199" s="505"/>
      <c r="AG199" s="505"/>
      <c r="AH199" s="505"/>
      <c r="AI199" s="505"/>
      <c r="AJ199" s="505"/>
      <c r="AK199" s="505"/>
      <c r="AL199" s="505"/>
    </row>
    <row r="200" spans="1:38" ht="9.9499999999999993" customHeight="1">
      <c r="A200" s="505"/>
      <c r="B200" s="505"/>
      <c r="C200" s="505"/>
      <c r="D200" s="505"/>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505"/>
      <c r="AE200" s="505"/>
      <c r="AF200" s="505"/>
      <c r="AG200" s="505"/>
      <c r="AH200" s="505"/>
      <c r="AI200" s="505"/>
      <c r="AJ200" s="505"/>
      <c r="AK200" s="505"/>
      <c r="AL200" s="505"/>
    </row>
    <row r="201" spans="1:38" ht="9.9499999999999993" customHeight="1">
      <c r="A201" s="505"/>
      <c r="B201" s="505"/>
      <c r="C201" s="505"/>
      <c r="D201" s="505"/>
      <c r="E201" s="505"/>
      <c r="F201" s="505"/>
      <c r="G201" s="505"/>
      <c r="H201" s="505"/>
      <c r="I201" s="505"/>
      <c r="J201" s="505"/>
      <c r="K201" s="505"/>
      <c r="L201" s="505"/>
      <c r="M201" s="505"/>
      <c r="N201" s="505"/>
      <c r="O201" s="505"/>
      <c r="P201" s="505"/>
      <c r="Q201" s="505"/>
      <c r="R201" s="505"/>
      <c r="S201" s="505"/>
      <c r="T201" s="505"/>
      <c r="U201" s="505"/>
      <c r="V201" s="505"/>
      <c r="W201" s="505"/>
      <c r="X201" s="505"/>
      <c r="Y201" s="505"/>
      <c r="Z201" s="505"/>
      <c r="AA201" s="505"/>
      <c r="AB201" s="505"/>
      <c r="AC201" s="505"/>
      <c r="AD201" s="505"/>
      <c r="AE201" s="505"/>
      <c r="AF201" s="505"/>
      <c r="AG201" s="505"/>
      <c r="AH201" s="505"/>
      <c r="AI201" s="505"/>
      <c r="AJ201" s="505"/>
      <c r="AK201" s="505"/>
      <c r="AL201" s="505"/>
    </row>
    <row r="202" spans="1:38" ht="9.9499999999999993" customHeight="1">
      <c r="A202" s="505"/>
      <c r="B202" s="505"/>
      <c r="C202" s="505"/>
      <c r="D202" s="505"/>
      <c r="E202" s="505"/>
      <c r="F202" s="505"/>
      <c r="G202" s="505"/>
      <c r="H202" s="505"/>
      <c r="I202" s="505"/>
      <c r="J202" s="505"/>
      <c r="K202" s="505"/>
      <c r="L202" s="505"/>
      <c r="M202" s="505"/>
      <c r="N202" s="505"/>
      <c r="O202" s="505"/>
      <c r="P202" s="505"/>
      <c r="Q202" s="505"/>
      <c r="R202" s="505"/>
      <c r="S202" s="505"/>
      <c r="T202" s="505"/>
      <c r="U202" s="505"/>
      <c r="V202" s="505"/>
      <c r="W202" s="505"/>
      <c r="X202" s="505"/>
      <c r="Y202" s="505"/>
      <c r="Z202" s="505"/>
      <c r="AA202" s="505"/>
      <c r="AB202" s="505"/>
      <c r="AC202" s="505"/>
      <c r="AD202" s="505"/>
      <c r="AE202" s="505"/>
      <c r="AF202" s="505"/>
      <c r="AG202" s="505"/>
      <c r="AH202" s="505"/>
      <c r="AI202" s="505"/>
      <c r="AJ202" s="505"/>
      <c r="AK202" s="505"/>
      <c r="AL202" s="505"/>
    </row>
    <row r="203" spans="1:38" ht="9.9499999999999993" customHeight="1">
      <c r="A203" s="505"/>
      <c r="B203" s="505"/>
      <c r="C203" s="505"/>
      <c r="D203" s="505"/>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row>
    <row r="204" spans="1:38" ht="9.9499999999999993" customHeight="1">
      <c r="A204" s="505"/>
      <c r="B204" s="505"/>
      <c r="C204" s="505"/>
      <c r="D204" s="505"/>
      <c r="E204" s="505"/>
      <c r="F204" s="505"/>
      <c r="G204" s="505"/>
      <c r="H204" s="505"/>
      <c r="I204" s="505"/>
      <c r="J204" s="505"/>
      <c r="K204" s="505"/>
      <c r="L204" s="505"/>
      <c r="M204" s="505"/>
      <c r="N204" s="505"/>
      <c r="O204" s="505"/>
      <c r="P204" s="505"/>
      <c r="Q204" s="505"/>
      <c r="R204" s="505"/>
      <c r="S204" s="505"/>
      <c r="T204" s="505"/>
      <c r="U204" s="505"/>
      <c r="V204" s="505"/>
      <c r="W204" s="505"/>
      <c r="X204" s="505"/>
      <c r="Y204" s="505"/>
      <c r="Z204" s="505"/>
      <c r="AA204" s="505"/>
      <c r="AB204" s="505"/>
      <c r="AC204" s="505"/>
      <c r="AD204" s="505"/>
      <c r="AE204" s="505"/>
      <c r="AF204" s="505"/>
      <c r="AG204" s="505"/>
      <c r="AH204" s="505"/>
      <c r="AI204" s="505"/>
      <c r="AJ204" s="505"/>
      <c r="AK204" s="505"/>
      <c r="AL204" s="505"/>
    </row>
    <row r="205" spans="1:38" ht="9.9499999999999993" customHeight="1">
      <c r="A205" s="505"/>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505"/>
      <c r="AE205" s="505"/>
      <c r="AF205" s="505"/>
      <c r="AG205" s="505"/>
      <c r="AH205" s="505"/>
      <c r="AI205" s="505"/>
      <c r="AJ205" s="505"/>
      <c r="AK205" s="505"/>
      <c r="AL205" s="505"/>
    </row>
    <row r="206" spans="1:38" ht="9.9499999999999993" customHeight="1">
      <c r="A206" s="505"/>
      <c r="B206" s="505"/>
      <c r="C206" s="505"/>
      <c r="D206" s="505"/>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505"/>
      <c r="AE206" s="505"/>
      <c r="AF206" s="505"/>
      <c r="AG206" s="505"/>
      <c r="AH206" s="505"/>
      <c r="AI206" s="505"/>
      <c r="AJ206" s="505"/>
      <c r="AK206" s="505"/>
      <c r="AL206" s="505"/>
    </row>
    <row r="207" spans="1:38" ht="9.9499999999999993" customHeight="1">
      <c r="A207" s="505"/>
      <c r="B207" s="505"/>
      <c r="C207" s="505"/>
      <c r="D207" s="505"/>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505"/>
      <c r="AE207" s="505"/>
      <c r="AF207" s="505"/>
      <c r="AG207" s="505"/>
      <c r="AH207" s="505"/>
      <c r="AI207" s="505"/>
      <c r="AJ207" s="505"/>
      <c r="AK207" s="505"/>
      <c r="AL207" s="505"/>
    </row>
    <row r="208" spans="1:38" ht="9.9499999999999993" customHeight="1">
      <c r="A208" s="505"/>
      <c r="B208" s="505"/>
      <c r="C208" s="505"/>
      <c r="D208" s="505"/>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505"/>
      <c r="AE208" s="505"/>
      <c r="AF208" s="505"/>
      <c r="AG208" s="505"/>
      <c r="AH208" s="505"/>
      <c r="AI208" s="505"/>
      <c r="AJ208" s="505"/>
      <c r="AK208" s="505"/>
      <c r="AL208" s="505"/>
    </row>
    <row r="209" spans="1:38" ht="9.9499999999999993" customHeight="1">
      <c r="A209" s="505"/>
      <c r="B209" s="505"/>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c r="AG209" s="505"/>
      <c r="AH209" s="505"/>
      <c r="AI209" s="505"/>
      <c r="AJ209" s="505"/>
      <c r="AK209" s="505"/>
      <c r="AL209" s="505"/>
    </row>
    <row r="210" spans="1:38" ht="9.9499999999999993" customHeight="1">
      <c r="A210" s="505"/>
      <c r="B210" s="505"/>
      <c r="C210" s="505"/>
      <c r="D210" s="505"/>
      <c r="E210" s="505"/>
      <c r="F210" s="505"/>
      <c r="G210" s="505"/>
      <c r="H210" s="505"/>
      <c r="I210" s="505"/>
      <c r="J210" s="505"/>
      <c r="K210" s="505"/>
      <c r="L210" s="505"/>
      <c r="M210" s="505"/>
      <c r="N210" s="505"/>
      <c r="O210" s="505"/>
      <c r="P210" s="505"/>
      <c r="Q210" s="505"/>
      <c r="R210" s="505"/>
      <c r="S210" s="505"/>
      <c r="T210" s="505"/>
      <c r="U210" s="505"/>
      <c r="V210" s="505"/>
      <c r="W210" s="505"/>
      <c r="X210" s="505"/>
      <c r="Y210" s="505"/>
      <c r="Z210" s="505"/>
      <c r="AA210" s="505"/>
      <c r="AB210" s="505"/>
      <c r="AC210" s="505"/>
      <c r="AD210" s="505"/>
      <c r="AE210" s="505"/>
      <c r="AF210" s="505"/>
      <c r="AG210" s="505"/>
      <c r="AH210" s="505"/>
      <c r="AI210" s="505"/>
      <c r="AJ210" s="505"/>
      <c r="AK210" s="505"/>
      <c r="AL210" s="505"/>
    </row>
    <row r="211" spans="1:38" ht="9.9499999999999993" customHeight="1">
      <c r="A211" s="505"/>
      <c r="B211" s="505"/>
      <c r="C211" s="505"/>
      <c r="D211" s="505"/>
      <c r="E211" s="505"/>
      <c r="F211" s="505"/>
      <c r="G211" s="505"/>
      <c r="H211" s="505"/>
      <c r="I211" s="505"/>
      <c r="J211" s="505"/>
      <c r="K211" s="505"/>
      <c r="L211" s="505"/>
      <c r="M211" s="505"/>
      <c r="N211" s="505"/>
      <c r="O211" s="505"/>
      <c r="P211" s="505"/>
      <c r="Q211" s="505"/>
      <c r="R211" s="505"/>
      <c r="S211" s="505"/>
      <c r="T211" s="505"/>
      <c r="U211" s="505"/>
      <c r="V211" s="505"/>
      <c r="W211" s="505"/>
      <c r="X211" s="505"/>
      <c r="Y211" s="505"/>
      <c r="Z211" s="505"/>
      <c r="AA211" s="505"/>
      <c r="AB211" s="505"/>
      <c r="AC211" s="505"/>
      <c r="AD211" s="505"/>
      <c r="AE211" s="505"/>
      <c r="AF211" s="505"/>
      <c r="AG211" s="505"/>
      <c r="AH211" s="505"/>
      <c r="AI211" s="505"/>
      <c r="AJ211" s="505"/>
      <c r="AK211" s="505"/>
      <c r="AL211" s="505"/>
    </row>
    <row r="212" spans="1:38" ht="9.9499999999999993" customHeight="1">
      <c r="A212" s="505"/>
      <c r="B212" s="505"/>
      <c r="C212" s="505"/>
      <c r="D212" s="505"/>
      <c r="E212" s="505"/>
      <c r="F212" s="505"/>
      <c r="G212" s="505"/>
      <c r="H212" s="505"/>
      <c r="I212" s="505"/>
      <c r="J212" s="505"/>
      <c r="K212" s="505"/>
      <c r="L212" s="505"/>
      <c r="M212" s="505"/>
      <c r="N212" s="505"/>
      <c r="O212" s="505"/>
      <c r="P212" s="505"/>
      <c r="Q212" s="505"/>
      <c r="R212" s="505"/>
      <c r="S212" s="505"/>
      <c r="T212" s="505"/>
      <c r="U212" s="505"/>
      <c r="V212" s="505"/>
      <c r="W212" s="505"/>
      <c r="X212" s="505"/>
      <c r="Y212" s="505"/>
      <c r="Z212" s="505"/>
      <c r="AA212" s="505"/>
      <c r="AB212" s="505"/>
      <c r="AC212" s="505"/>
      <c r="AD212" s="505"/>
      <c r="AE212" s="505"/>
      <c r="AF212" s="505"/>
      <c r="AG212" s="505"/>
      <c r="AH212" s="505"/>
      <c r="AI212" s="505"/>
      <c r="AJ212" s="505"/>
      <c r="AK212" s="505"/>
      <c r="AL212" s="505"/>
    </row>
    <row r="213" spans="1:38" ht="9.9499999999999993" customHeight="1">
      <c r="A213" s="505"/>
      <c r="B213" s="505"/>
      <c r="C213" s="505"/>
      <c r="D213" s="505"/>
      <c r="E213" s="505"/>
      <c r="F213" s="505"/>
      <c r="G213" s="505"/>
      <c r="H213" s="505"/>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505"/>
      <c r="AE213" s="505"/>
      <c r="AF213" s="505"/>
      <c r="AG213" s="505"/>
      <c r="AH213" s="505"/>
      <c r="AI213" s="505"/>
      <c r="AJ213" s="505"/>
      <c r="AK213" s="505"/>
      <c r="AL213" s="505"/>
    </row>
    <row r="214" spans="1:38" ht="9.9499999999999993" customHeight="1">
      <c r="A214" s="505"/>
      <c r="B214" s="505"/>
      <c r="C214" s="505"/>
      <c r="D214" s="505"/>
      <c r="E214" s="505"/>
      <c r="F214" s="505"/>
      <c r="G214" s="505"/>
      <c r="H214" s="505"/>
      <c r="I214" s="505"/>
      <c r="J214" s="505"/>
      <c r="K214" s="505"/>
      <c r="L214" s="505"/>
      <c r="M214" s="505"/>
      <c r="N214" s="505"/>
      <c r="O214" s="505"/>
      <c r="P214" s="505"/>
      <c r="Q214" s="505"/>
      <c r="R214" s="505"/>
      <c r="S214" s="505"/>
      <c r="T214" s="505"/>
      <c r="U214" s="505"/>
      <c r="V214" s="505"/>
      <c r="W214" s="505"/>
      <c r="X214" s="505"/>
      <c r="Y214" s="505"/>
      <c r="Z214" s="505"/>
      <c r="AA214" s="505"/>
      <c r="AB214" s="505"/>
      <c r="AC214" s="505"/>
      <c r="AD214" s="505"/>
      <c r="AE214" s="505"/>
      <c r="AF214" s="505"/>
      <c r="AG214" s="505"/>
      <c r="AH214" s="505"/>
      <c r="AI214" s="505"/>
      <c r="AJ214" s="505"/>
      <c r="AK214" s="505"/>
      <c r="AL214" s="505"/>
    </row>
    <row r="215" spans="1:38" ht="9.9499999999999993" customHeight="1">
      <c r="A215" s="505"/>
      <c r="B215" s="505"/>
      <c r="C215" s="505"/>
      <c r="D215" s="505"/>
      <c r="E215" s="505"/>
      <c r="F215" s="505"/>
      <c r="G215" s="505"/>
      <c r="H215" s="505"/>
      <c r="I215" s="505"/>
      <c r="J215" s="505"/>
      <c r="K215" s="505"/>
      <c r="L215" s="505"/>
      <c r="M215" s="505"/>
      <c r="N215" s="505"/>
      <c r="O215" s="505"/>
      <c r="P215" s="505"/>
      <c r="Q215" s="505"/>
      <c r="R215" s="505"/>
      <c r="S215" s="505"/>
      <c r="T215" s="505"/>
      <c r="U215" s="505"/>
      <c r="V215" s="505"/>
      <c r="W215" s="505"/>
      <c r="X215" s="505"/>
      <c r="Y215" s="505"/>
      <c r="Z215" s="505"/>
      <c r="AA215" s="505"/>
      <c r="AB215" s="505"/>
      <c r="AC215" s="505"/>
      <c r="AD215" s="505"/>
      <c r="AE215" s="505"/>
      <c r="AF215" s="505"/>
      <c r="AG215" s="505"/>
      <c r="AH215" s="505"/>
      <c r="AI215" s="505"/>
      <c r="AJ215" s="505"/>
      <c r="AK215" s="505"/>
      <c r="AL215" s="505"/>
    </row>
    <row r="216" spans="1:38" ht="9.9499999999999993" customHeight="1">
      <c r="A216" s="505"/>
      <c r="B216" s="505"/>
      <c r="C216" s="505"/>
      <c r="D216" s="505"/>
      <c r="E216" s="505"/>
      <c r="F216" s="505"/>
      <c r="G216" s="505"/>
      <c r="H216" s="505"/>
      <c r="I216" s="505"/>
      <c r="J216" s="505"/>
      <c r="K216" s="505"/>
      <c r="L216" s="505"/>
      <c r="M216" s="505"/>
      <c r="N216" s="505"/>
      <c r="O216" s="505"/>
      <c r="P216" s="505"/>
      <c r="Q216" s="505"/>
      <c r="R216" s="505"/>
      <c r="S216" s="505"/>
      <c r="T216" s="505"/>
      <c r="U216" s="505"/>
      <c r="V216" s="505"/>
      <c r="W216" s="505"/>
      <c r="X216" s="505"/>
      <c r="Y216" s="505"/>
      <c r="Z216" s="505"/>
      <c r="AA216" s="505"/>
      <c r="AB216" s="505"/>
      <c r="AC216" s="505"/>
      <c r="AD216" s="505"/>
      <c r="AE216" s="505"/>
      <c r="AF216" s="505"/>
      <c r="AG216" s="505"/>
      <c r="AH216" s="505"/>
      <c r="AI216" s="505"/>
      <c r="AJ216" s="505"/>
      <c r="AK216" s="505"/>
      <c r="AL216" s="505"/>
    </row>
    <row r="217" spans="1:38" ht="9.9499999999999993" customHeight="1">
      <c r="A217" s="505"/>
      <c r="B217" s="505"/>
      <c r="C217" s="505"/>
      <c r="D217" s="505"/>
      <c r="E217" s="505"/>
      <c r="F217" s="505"/>
      <c r="G217" s="505"/>
      <c r="H217" s="505"/>
      <c r="I217" s="505"/>
      <c r="J217" s="505"/>
      <c r="K217" s="505"/>
      <c r="L217" s="505"/>
      <c r="M217" s="505"/>
      <c r="N217" s="505"/>
      <c r="O217" s="505"/>
      <c r="P217" s="505"/>
      <c r="Q217" s="505"/>
      <c r="R217" s="505"/>
      <c r="S217" s="505"/>
      <c r="T217" s="505"/>
      <c r="U217" s="505"/>
      <c r="V217" s="505"/>
      <c r="W217" s="505"/>
      <c r="X217" s="505"/>
      <c r="Y217" s="505"/>
      <c r="Z217" s="505"/>
      <c r="AA217" s="505"/>
      <c r="AB217" s="505"/>
      <c r="AC217" s="505"/>
      <c r="AD217" s="505"/>
      <c r="AE217" s="505"/>
      <c r="AF217" s="505"/>
      <c r="AG217" s="505"/>
      <c r="AH217" s="505"/>
      <c r="AI217" s="505"/>
      <c r="AJ217" s="505"/>
      <c r="AK217" s="505"/>
      <c r="AL217" s="505"/>
    </row>
    <row r="218" spans="1:38" ht="9.9499999999999993" customHeight="1">
      <c r="A218" s="505"/>
      <c r="B218" s="505"/>
      <c r="C218" s="505"/>
      <c r="D218" s="505"/>
      <c r="E218" s="505"/>
      <c r="F218" s="505"/>
      <c r="G218" s="505"/>
      <c r="H218" s="505"/>
      <c r="I218" s="505"/>
      <c r="J218" s="505"/>
      <c r="K218" s="505"/>
      <c r="L218" s="505"/>
      <c r="M218" s="505"/>
      <c r="N218" s="505"/>
      <c r="O218" s="505"/>
      <c r="P218" s="505"/>
      <c r="Q218" s="505"/>
      <c r="R218" s="505"/>
      <c r="S218" s="505"/>
      <c r="T218" s="505"/>
      <c r="U218" s="505"/>
      <c r="V218" s="505"/>
      <c r="W218" s="505"/>
      <c r="X218" s="505"/>
      <c r="Y218" s="505"/>
      <c r="Z218" s="505"/>
      <c r="AA218" s="505"/>
      <c r="AB218" s="505"/>
      <c r="AC218" s="505"/>
      <c r="AD218" s="505"/>
      <c r="AE218" s="505"/>
      <c r="AF218" s="505"/>
      <c r="AG218" s="505"/>
      <c r="AH218" s="505"/>
      <c r="AI218" s="505"/>
      <c r="AJ218" s="505"/>
      <c r="AK218" s="505"/>
      <c r="AL218" s="505"/>
    </row>
    <row r="219" spans="1:38" ht="9.9499999999999993" customHeight="1">
      <c r="A219" s="505"/>
      <c r="B219" s="505"/>
      <c r="C219" s="505"/>
      <c r="D219" s="505"/>
      <c r="E219" s="505"/>
      <c r="F219" s="505"/>
      <c r="G219" s="505"/>
      <c r="H219" s="505"/>
      <c r="I219" s="505"/>
      <c r="J219" s="505"/>
      <c r="K219" s="505"/>
      <c r="L219" s="505"/>
      <c r="M219" s="505"/>
      <c r="N219" s="505"/>
      <c r="O219" s="505"/>
      <c r="P219" s="505"/>
      <c r="Q219" s="505"/>
      <c r="R219" s="505"/>
      <c r="S219" s="505"/>
      <c r="T219" s="505"/>
      <c r="U219" s="505"/>
      <c r="V219" s="505"/>
      <c r="W219" s="505"/>
      <c r="X219" s="505"/>
      <c r="Y219" s="505"/>
      <c r="Z219" s="505"/>
      <c r="AA219" s="505"/>
      <c r="AB219" s="505"/>
      <c r="AC219" s="505"/>
      <c r="AD219" s="505"/>
      <c r="AE219" s="505"/>
      <c r="AF219" s="505"/>
      <c r="AG219" s="505"/>
      <c r="AH219" s="505"/>
      <c r="AI219" s="505"/>
      <c r="AJ219" s="505"/>
      <c r="AK219" s="505"/>
      <c r="AL219" s="505"/>
    </row>
    <row r="220" spans="1:38" ht="9.9499999999999993" customHeight="1">
      <c r="A220" s="505"/>
      <c r="B220" s="505"/>
      <c r="C220" s="505"/>
      <c r="D220" s="505"/>
      <c r="E220" s="505"/>
      <c r="F220" s="505"/>
      <c r="G220" s="505"/>
      <c r="H220" s="505"/>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row>
    <row r="221" spans="1:38" ht="9.9499999999999993" customHeight="1">
      <c r="A221" s="505"/>
      <c r="B221" s="505"/>
      <c r="C221" s="505"/>
      <c r="D221" s="505"/>
      <c r="E221" s="505"/>
      <c r="F221" s="505"/>
      <c r="G221" s="505"/>
      <c r="H221" s="505"/>
      <c r="I221" s="505"/>
      <c r="J221" s="505"/>
      <c r="K221" s="505"/>
      <c r="L221" s="505"/>
      <c r="M221" s="505"/>
      <c r="N221" s="505"/>
      <c r="O221" s="505"/>
      <c r="P221" s="505"/>
      <c r="Q221" s="505"/>
      <c r="R221" s="505"/>
      <c r="S221" s="505"/>
      <c r="T221" s="505"/>
      <c r="U221" s="505"/>
      <c r="V221" s="505"/>
      <c r="W221" s="505"/>
      <c r="X221" s="505"/>
      <c r="Y221" s="505"/>
      <c r="Z221" s="505"/>
      <c r="AA221" s="505"/>
      <c r="AB221" s="505"/>
      <c r="AC221" s="505"/>
      <c r="AD221" s="505"/>
      <c r="AE221" s="505"/>
      <c r="AF221" s="505"/>
      <c r="AG221" s="505"/>
      <c r="AH221" s="505"/>
      <c r="AI221" s="505"/>
      <c r="AJ221" s="505"/>
      <c r="AK221" s="505"/>
      <c r="AL221" s="505"/>
    </row>
    <row r="222" spans="1:38" ht="9.9499999999999993" customHeight="1">
      <c r="A222" s="505"/>
      <c r="B222" s="505"/>
      <c r="C222" s="505"/>
      <c r="D222" s="505"/>
      <c r="E222" s="505"/>
      <c r="F222" s="505"/>
      <c r="G222" s="505"/>
      <c r="H222" s="505"/>
      <c r="I222" s="505"/>
      <c r="J222" s="505"/>
      <c r="K222" s="505"/>
      <c r="L222" s="505"/>
      <c r="M222" s="505"/>
      <c r="N222" s="505"/>
      <c r="O222" s="505"/>
      <c r="P222" s="505"/>
      <c r="Q222" s="505"/>
      <c r="R222" s="505"/>
      <c r="S222" s="505"/>
      <c r="T222" s="505"/>
      <c r="U222" s="505"/>
      <c r="V222" s="505"/>
      <c r="W222" s="505"/>
      <c r="X222" s="505"/>
      <c r="Y222" s="505"/>
      <c r="Z222" s="505"/>
      <c r="AA222" s="505"/>
      <c r="AB222" s="505"/>
      <c r="AC222" s="505"/>
      <c r="AD222" s="505"/>
      <c r="AE222" s="505"/>
      <c r="AF222" s="505"/>
      <c r="AG222" s="505"/>
      <c r="AH222" s="505"/>
      <c r="AI222" s="505"/>
      <c r="AJ222" s="505"/>
      <c r="AK222" s="505"/>
      <c r="AL222" s="505"/>
    </row>
    <row r="223" spans="1:38" ht="9.9499999999999993" customHeight="1">
      <c r="A223" s="505"/>
      <c r="B223" s="505"/>
      <c r="C223" s="505"/>
      <c r="D223" s="505"/>
      <c r="E223" s="505"/>
      <c r="F223" s="505"/>
      <c r="G223" s="505"/>
      <c r="H223" s="505"/>
      <c r="I223" s="505"/>
      <c r="J223" s="505"/>
      <c r="K223" s="505"/>
      <c r="L223" s="505"/>
      <c r="M223" s="505"/>
      <c r="N223" s="505"/>
      <c r="O223" s="505"/>
      <c r="P223" s="505"/>
      <c r="Q223" s="505"/>
      <c r="R223" s="505"/>
      <c r="S223" s="505"/>
      <c r="T223" s="505"/>
      <c r="U223" s="505"/>
      <c r="V223" s="505"/>
      <c r="W223" s="505"/>
      <c r="X223" s="505"/>
      <c r="Y223" s="505"/>
      <c r="Z223" s="505"/>
      <c r="AA223" s="505"/>
      <c r="AB223" s="505"/>
      <c r="AC223" s="505"/>
      <c r="AD223" s="505"/>
      <c r="AE223" s="505"/>
      <c r="AF223" s="505"/>
      <c r="AG223" s="505"/>
      <c r="AH223" s="505"/>
      <c r="AI223" s="505"/>
      <c r="AJ223" s="505"/>
      <c r="AK223" s="505"/>
      <c r="AL223" s="505"/>
    </row>
    <row r="224" spans="1:38" ht="9.9499999999999993" customHeight="1">
      <c r="A224" s="505"/>
      <c r="B224" s="505"/>
      <c r="C224" s="505"/>
      <c r="D224" s="505"/>
      <c r="E224" s="505"/>
      <c r="F224" s="505"/>
      <c r="G224" s="505"/>
      <c r="H224" s="505"/>
      <c r="I224" s="505"/>
      <c r="J224" s="505"/>
      <c r="K224" s="505"/>
      <c r="L224" s="505"/>
      <c r="M224" s="505"/>
      <c r="N224" s="505"/>
      <c r="O224" s="505"/>
      <c r="P224" s="505"/>
      <c r="Q224" s="505"/>
      <c r="R224" s="505"/>
      <c r="S224" s="505"/>
      <c r="T224" s="505"/>
      <c r="U224" s="505"/>
      <c r="V224" s="505"/>
      <c r="W224" s="505"/>
      <c r="X224" s="505"/>
      <c r="Y224" s="505"/>
      <c r="Z224" s="505"/>
      <c r="AA224" s="505"/>
      <c r="AB224" s="505"/>
      <c r="AC224" s="505"/>
      <c r="AD224" s="505"/>
      <c r="AE224" s="505"/>
      <c r="AF224" s="505"/>
      <c r="AG224" s="505"/>
      <c r="AH224" s="505"/>
      <c r="AI224" s="505"/>
      <c r="AJ224" s="505"/>
      <c r="AK224" s="505"/>
      <c r="AL224" s="505"/>
    </row>
    <row r="225" spans="1:38" ht="9.9499999999999993" customHeight="1">
      <c r="A225" s="505"/>
      <c r="B225" s="505"/>
      <c r="C225" s="505"/>
      <c r="D225" s="505"/>
      <c r="E225" s="505"/>
      <c r="F225" s="505"/>
      <c r="G225" s="505"/>
      <c r="H225" s="505"/>
      <c r="I225" s="505"/>
      <c r="J225" s="505"/>
      <c r="K225" s="505"/>
      <c r="L225" s="505"/>
      <c r="M225" s="505"/>
      <c r="N225" s="505"/>
      <c r="O225" s="505"/>
      <c r="P225" s="505"/>
      <c r="Q225" s="505"/>
      <c r="R225" s="505"/>
      <c r="S225" s="505"/>
      <c r="T225" s="505"/>
      <c r="U225" s="505"/>
      <c r="V225" s="505"/>
      <c r="W225" s="505"/>
      <c r="X225" s="505"/>
      <c r="Y225" s="505"/>
      <c r="Z225" s="505"/>
      <c r="AA225" s="505"/>
      <c r="AB225" s="505"/>
      <c r="AC225" s="505"/>
      <c r="AD225" s="505"/>
      <c r="AE225" s="505"/>
      <c r="AF225" s="505"/>
      <c r="AG225" s="505"/>
      <c r="AH225" s="505"/>
      <c r="AI225" s="505"/>
      <c r="AJ225" s="505"/>
      <c r="AK225" s="505"/>
      <c r="AL225" s="505"/>
    </row>
    <row r="226" spans="1:38" ht="9.9499999999999993" customHeight="1">
      <c r="A226" s="505"/>
      <c r="B226" s="505"/>
      <c r="C226" s="505"/>
      <c r="D226" s="505"/>
      <c r="E226" s="505"/>
      <c r="F226" s="505"/>
      <c r="G226" s="505"/>
      <c r="H226" s="505"/>
      <c r="I226" s="505"/>
      <c r="J226" s="505"/>
      <c r="K226" s="505"/>
      <c r="L226" s="505"/>
      <c r="M226" s="505"/>
      <c r="N226" s="505"/>
      <c r="O226" s="505"/>
      <c r="P226" s="505"/>
      <c r="Q226" s="505"/>
      <c r="R226" s="505"/>
      <c r="S226" s="505"/>
      <c r="T226" s="505"/>
      <c r="U226" s="505"/>
      <c r="V226" s="505"/>
      <c r="W226" s="505"/>
      <c r="X226" s="505"/>
      <c r="Y226" s="505"/>
      <c r="Z226" s="505"/>
      <c r="AA226" s="505"/>
      <c r="AB226" s="505"/>
      <c r="AC226" s="505"/>
      <c r="AD226" s="505"/>
      <c r="AE226" s="505"/>
      <c r="AF226" s="505"/>
      <c r="AG226" s="505"/>
      <c r="AH226" s="505"/>
      <c r="AI226" s="505"/>
      <c r="AJ226" s="505"/>
      <c r="AK226" s="505"/>
      <c r="AL226" s="505"/>
    </row>
    <row r="227" spans="1:38" ht="9.9499999999999993" customHeight="1">
      <c r="A227" s="505"/>
      <c r="B227" s="505"/>
      <c r="C227" s="505"/>
      <c r="D227" s="505"/>
      <c r="E227" s="505"/>
      <c r="F227" s="505"/>
      <c r="G227" s="505"/>
      <c r="H227" s="505"/>
      <c r="I227" s="505"/>
      <c r="J227" s="505"/>
      <c r="K227" s="505"/>
      <c r="L227" s="505"/>
      <c r="M227" s="505"/>
      <c r="N227" s="505"/>
      <c r="O227" s="505"/>
      <c r="P227" s="505"/>
      <c r="Q227" s="505"/>
      <c r="R227" s="505"/>
      <c r="S227" s="505"/>
      <c r="T227" s="505"/>
      <c r="U227" s="505"/>
      <c r="V227" s="505"/>
      <c r="W227" s="505"/>
      <c r="X227" s="505"/>
      <c r="Y227" s="505"/>
      <c r="Z227" s="505"/>
      <c r="AA227" s="505"/>
      <c r="AB227" s="505"/>
      <c r="AC227" s="505"/>
      <c r="AD227" s="505"/>
      <c r="AE227" s="505"/>
      <c r="AF227" s="505"/>
      <c r="AG227" s="505"/>
      <c r="AH227" s="505"/>
      <c r="AI227" s="505"/>
      <c r="AJ227" s="505"/>
      <c r="AK227" s="505"/>
      <c r="AL227" s="505"/>
    </row>
    <row r="228" spans="1:38" ht="9.9499999999999993" customHeight="1">
      <c r="A228" s="505"/>
      <c r="B228" s="505"/>
      <c r="C228" s="505"/>
      <c r="D228" s="505"/>
      <c r="E228" s="505"/>
      <c r="F228" s="505"/>
      <c r="G228" s="505"/>
      <c r="H228" s="505"/>
      <c r="I228" s="505"/>
      <c r="J228" s="505"/>
      <c r="K228" s="505"/>
      <c r="L228" s="505"/>
      <c r="M228" s="505"/>
      <c r="N228" s="505"/>
      <c r="O228" s="505"/>
      <c r="P228" s="505"/>
      <c r="Q228" s="505"/>
      <c r="R228" s="505"/>
      <c r="S228" s="505"/>
      <c r="T228" s="505"/>
      <c r="U228" s="505"/>
      <c r="V228" s="505"/>
      <c r="W228" s="505"/>
      <c r="X228" s="505"/>
      <c r="Y228" s="505"/>
      <c r="Z228" s="505"/>
      <c r="AA228" s="505"/>
      <c r="AB228" s="505"/>
      <c r="AC228" s="505"/>
      <c r="AD228" s="505"/>
      <c r="AE228" s="505"/>
      <c r="AF228" s="505"/>
      <c r="AG228" s="505"/>
      <c r="AH228" s="505"/>
      <c r="AI228" s="505"/>
      <c r="AJ228" s="505"/>
      <c r="AK228" s="505"/>
      <c r="AL228" s="505"/>
    </row>
    <row r="229" spans="1:38" ht="9.9499999999999993" customHeight="1">
      <c r="A229" s="505"/>
      <c r="B229" s="505"/>
      <c r="C229" s="505"/>
      <c r="D229" s="505"/>
      <c r="E229" s="505"/>
      <c r="F229" s="505"/>
      <c r="G229" s="505"/>
      <c r="H229" s="505"/>
      <c r="I229" s="505"/>
      <c r="J229" s="505"/>
      <c r="K229" s="505"/>
      <c r="L229" s="505"/>
      <c r="M229" s="505"/>
      <c r="N229" s="505"/>
      <c r="O229" s="505"/>
      <c r="P229" s="505"/>
      <c r="Q229" s="505"/>
      <c r="R229" s="505"/>
      <c r="S229" s="505"/>
      <c r="T229" s="505"/>
      <c r="U229" s="505"/>
      <c r="V229" s="505"/>
      <c r="W229" s="505"/>
      <c r="X229" s="505"/>
      <c r="Y229" s="505"/>
      <c r="Z229" s="505"/>
      <c r="AA229" s="505"/>
      <c r="AB229" s="505"/>
      <c r="AC229" s="505"/>
      <c r="AD229" s="505"/>
      <c r="AE229" s="505"/>
      <c r="AF229" s="505"/>
      <c r="AG229" s="505"/>
      <c r="AH229" s="505"/>
      <c r="AI229" s="505"/>
      <c r="AJ229" s="505"/>
      <c r="AK229" s="505"/>
      <c r="AL229" s="505"/>
    </row>
    <row r="230" spans="1:38" ht="9.9499999999999993" customHeight="1">
      <c r="A230" s="505"/>
      <c r="B230" s="505"/>
      <c r="C230" s="505"/>
      <c r="D230" s="505"/>
      <c r="E230" s="505"/>
      <c r="F230" s="505"/>
      <c r="G230" s="505"/>
      <c r="H230" s="505"/>
      <c r="I230" s="505"/>
      <c r="J230" s="505"/>
      <c r="K230" s="505"/>
      <c r="L230" s="505"/>
      <c r="M230" s="505"/>
      <c r="N230" s="505"/>
      <c r="O230" s="505"/>
      <c r="P230" s="505"/>
      <c r="Q230" s="505"/>
      <c r="R230" s="505"/>
      <c r="S230" s="505"/>
      <c r="T230" s="505"/>
      <c r="U230" s="505"/>
      <c r="V230" s="505"/>
      <c r="W230" s="505"/>
      <c r="X230" s="505"/>
      <c r="Y230" s="505"/>
      <c r="Z230" s="505"/>
      <c r="AA230" s="505"/>
      <c r="AB230" s="505"/>
      <c r="AC230" s="505"/>
      <c r="AD230" s="505"/>
      <c r="AE230" s="505"/>
      <c r="AF230" s="505"/>
      <c r="AG230" s="505"/>
      <c r="AH230" s="505"/>
      <c r="AI230" s="505"/>
      <c r="AJ230" s="505"/>
      <c r="AK230" s="505"/>
      <c r="AL230" s="505"/>
    </row>
    <row r="231" spans="1:38" ht="9.9499999999999993" customHeight="1">
      <c r="A231" s="505"/>
      <c r="B231" s="505"/>
      <c r="C231" s="505"/>
      <c r="D231" s="505"/>
      <c r="E231" s="505"/>
      <c r="F231" s="505"/>
      <c r="G231" s="505"/>
      <c r="H231" s="505"/>
      <c r="I231" s="505"/>
      <c r="J231" s="505"/>
      <c r="K231" s="505"/>
      <c r="L231" s="505"/>
      <c r="M231" s="505"/>
      <c r="N231" s="505"/>
      <c r="O231" s="505"/>
      <c r="P231" s="505"/>
      <c r="Q231" s="505"/>
      <c r="R231" s="505"/>
      <c r="S231" s="505"/>
      <c r="T231" s="505"/>
      <c r="U231" s="505"/>
      <c r="V231" s="505"/>
      <c r="W231" s="505"/>
      <c r="X231" s="505"/>
      <c r="Y231" s="505"/>
      <c r="Z231" s="505"/>
      <c r="AA231" s="505"/>
      <c r="AB231" s="505"/>
      <c r="AC231" s="505"/>
      <c r="AD231" s="505"/>
      <c r="AE231" s="505"/>
      <c r="AF231" s="505"/>
      <c r="AG231" s="505"/>
      <c r="AH231" s="505"/>
      <c r="AI231" s="505"/>
      <c r="AJ231" s="505"/>
      <c r="AK231" s="505"/>
      <c r="AL231" s="505"/>
    </row>
    <row r="232" spans="1:38" ht="9.9499999999999993" customHeight="1">
      <c r="A232" s="505"/>
      <c r="B232" s="505"/>
      <c r="C232" s="505"/>
      <c r="D232" s="505"/>
      <c r="E232" s="505"/>
      <c r="F232" s="505"/>
      <c r="G232" s="505"/>
      <c r="H232" s="505"/>
      <c r="I232" s="505"/>
      <c r="J232" s="505"/>
      <c r="K232" s="505"/>
      <c r="L232" s="505"/>
      <c r="M232" s="505"/>
      <c r="N232" s="505"/>
      <c r="O232" s="505"/>
      <c r="P232" s="505"/>
      <c r="Q232" s="505"/>
      <c r="R232" s="505"/>
      <c r="S232" s="505"/>
      <c r="T232" s="505"/>
      <c r="U232" s="505"/>
      <c r="V232" s="505"/>
      <c r="W232" s="505"/>
      <c r="X232" s="505"/>
      <c r="Y232" s="505"/>
      <c r="Z232" s="505"/>
      <c r="AA232" s="505"/>
      <c r="AB232" s="505"/>
      <c r="AC232" s="505"/>
      <c r="AD232" s="505"/>
      <c r="AE232" s="505"/>
      <c r="AF232" s="505"/>
      <c r="AG232" s="505"/>
      <c r="AH232" s="505"/>
      <c r="AI232" s="505"/>
      <c r="AJ232" s="505"/>
      <c r="AK232" s="505"/>
      <c r="AL232" s="505"/>
    </row>
    <row r="233" spans="1:38" ht="9.9499999999999993" customHeight="1">
      <c r="A233" s="505"/>
      <c r="B233" s="505"/>
      <c r="C233" s="505"/>
      <c r="D233" s="505"/>
      <c r="E233" s="505"/>
      <c r="F233" s="505"/>
      <c r="G233" s="505"/>
      <c r="H233" s="505"/>
      <c r="I233" s="505"/>
      <c r="J233" s="505"/>
      <c r="K233" s="505"/>
      <c r="L233" s="505"/>
      <c r="M233" s="505"/>
      <c r="N233" s="505"/>
      <c r="O233" s="505"/>
      <c r="P233" s="505"/>
      <c r="Q233" s="505"/>
      <c r="R233" s="505"/>
      <c r="S233" s="505"/>
      <c r="T233" s="505"/>
      <c r="U233" s="505"/>
      <c r="V233" s="505"/>
      <c r="W233" s="505"/>
      <c r="X233" s="505"/>
      <c r="Y233" s="505"/>
      <c r="Z233" s="505"/>
      <c r="AA233" s="505"/>
      <c r="AB233" s="505"/>
      <c r="AC233" s="505"/>
      <c r="AD233" s="505"/>
      <c r="AE233" s="505"/>
      <c r="AF233" s="505"/>
      <c r="AG233" s="505"/>
      <c r="AH233" s="505"/>
      <c r="AI233" s="505"/>
      <c r="AJ233" s="505"/>
      <c r="AK233" s="505"/>
      <c r="AL233" s="505"/>
    </row>
    <row r="234" spans="1:38" ht="9.9499999999999993" customHeight="1">
      <c r="A234" s="505"/>
      <c r="B234" s="505"/>
      <c r="C234" s="505"/>
      <c r="D234" s="505"/>
      <c r="E234" s="505"/>
      <c r="F234" s="505"/>
      <c r="G234" s="505"/>
      <c r="H234" s="505"/>
      <c r="I234" s="505"/>
      <c r="J234" s="505"/>
      <c r="K234" s="505"/>
      <c r="L234" s="505"/>
      <c r="M234" s="505"/>
      <c r="N234" s="505"/>
      <c r="O234" s="505"/>
      <c r="P234" s="505"/>
      <c r="Q234" s="505"/>
      <c r="R234" s="505"/>
      <c r="S234" s="505"/>
      <c r="T234" s="505"/>
      <c r="U234" s="505"/>
      <c r="V234" s="505"/>
      <c r="W234" s="505"/>
      <c r="X234" s="505"/>
      <c r="Y234" s="505"/>
      <c r="Z234" s="505"/>
      <c r="AA234" s="505"/>
      <c r="AB234" s="505"/>
      <c r="AC234" s="505"/>
      <c r="AD234" s="505"/>
      <c r="AE234" s="505"/>
      <c r="AF234" s="505"/>
      <c r="AG234" s="505"/>
      <c r="AH234" s="505"/>
      <c r="AI234" s="505"/>
      <c r="AJ234" s="505"/>
      <c r="AK234" s="505"/>
      <c r="AL234" s="505"/>
    </row>
    <row r="235" spans="1:38" ht="9.9499999999999993" customHeight="1">
      <c r="A235" s="505"/>
      <c r="B235" s="505"/>
      <c r="C235" s="505"/>
      <c r="D235" s="505"/>
      <c r="E235" s="505"/>
      <c r="F235" s="505"/>
      <c r="G235" s="505"/>
      <c r="H235" s="505"/>
      <c r="I235" s="505"/>
      <c r="J235" s="505"/>
      <c r="K235" s="505"/>
      <c r="L235" s="505"/>
      <c r="M235" s="505"/>
      <c r="N235" s="505"/>
      <c r="O235" s="505"/>
      <c r="P235" s="505"/>
      <c r="Q235" s="505"/>
      <c r="R235" s="505"/>
      <c r="S235" s="505"/>
      <c r="T235" s="505"/>
      <c r="U235" s="505"/>
      <c r="V235" s="505"/>
      <c r="W235" s="505"/>
      <c r="X235" s="505"/>
      <c r="Y235" s="505"/>
      <c r="Z235" s="505"/>
      <c r="AA235" s="505"/>
      <c r="AB235" s="505"/>
      <c r="AC235" s="505"/>
      <c r="AD235" s="505"/>
      <c r="AE235" s="505"/>
      <c r="AF235" s="505"/>
      <c r="AG235" s="505"/>
      <c r="AH235" s="505"/>
      <c r="AI235" s="505"/>
      <c r="AJ235" s="505"/>
      <c r="AK235" s="505"/>
      <c r="AL235" s="505"/>
    </row>
    <row r="236" spans="1:38" ht="9.9499999999999993" customHeight="1">
      <c r="A236" s="505"/>
      <c r="B236" s="505"/>
      <c r="C236" s="505"/>
      <c r="D236" s="505"/>
      <c r="E236" s="505"/>
      <c r="F236" s="505"/>
      <c r="G236" s="505"/>
      <c r="H236" s="505"/>
      <c r="I236" s="505"/>
      <c r="J236" s="505"/>
      <c r="K236" s="505"/>
      <c r="L236" s="505"/>
      <c r="M236" s="505"/>
      <c r="N236" s="505"/>
      <c r="O236" s="505"/>
      <c r="P236" s="505"/>
      <c r="Q236" s="505"/>
      <c r="R236" s="505"/>
      <c r="S236" s="505"/>
      <c r="T236" s="505"/>
      <c r="U236" s="505"/>
      <c r="V236" s="505"/>
      <c r="W236" s="505"/>
      <c r="X236" s="505"/>
      <c r="Y236" s="505"/>
      <c r="Z236" s="505"/>
      <c r="AA236" s="505"/>
      <c r="AB236" s="505"/>
      <c r="AC236" s="505"/>
      <c r="AD236" s="505"/>
      <c r="AE236" s="505"/>
      <c r="AF236" s="505"/>
      <c r="AG236" s="505"/>
      <c r="AH236" s="505"/>
      <c r="AI236" s="505"/>
      <c r="AJ236" s="505"/>
      <c r="AK236" s="505"/>
      <c r="AL236" s="505"/>
    </row>
    <row r="237" spans="1:38" ht="9.9499999999999993" customHeight="1">
      <c r="A237" s="505"/>
      <c r="B237" s="505"/>
      <c r="C237" s="505"/>
      <c r="D237" s="505"/>
      <c r="E237" s="505"/>
      <c r="F237" s="505"/>
      <c r="G237" s="505"/>
      <c r="H237" s="505"/>
      <c r="I237" s="505"/>
      <c r="J237" s="505"/>
      <c r="K237" s="505"/>
      <c r="L237" s="505"/>
      <c r="M237" s="505"/>
      <c r="N237" s="505"/>
      <c r="O237" s="505"/>
      <c r="P237" s="505"/>
      <c r="Q237" s="505"/>
      <c r="R237" s="505"/>
      <c r="S237" s="505"/>
      <c r="T237" s="505"/>
      <c r="U237" s="505"/>
      <c r="V237" s="505"/>
      <c r="W237" s="505"/>
      <c r="X237" s="505"/>
      <c r="Y237" s="505"/>
      <c r="Z237" s="505"/>
      <c r="AA237" s="505"/>
      <c r="AB237" s="505"/>
      <c r="AC237" s="505"/>
      <c r="AD237" s="505"/>
      <c r="AE237" s="505"/>
      <c r="AF237" s="505"/>
      <c r="AG237" s="505"/>
      <c r="AH237" s="505"/>
      <c r="AI237" s="505"/>
      <c r="AJ237" s="505"/>
      <c r="AK237" s="505"/>
      <c r="AL237" s="505"/>
    </row>
    <row r="238" spans="1:38" ht="9.9499999999999993" customHeight="1">
      <c r="A238" s="505"/>
      <c r="B238" s="505"/>
      <c r="C238" s="505"/>
      <c r="D238" s="505"/>
      <c r="E238" s="505"/>
      <c r="F238" s="505"/>
      <c r="G238" s="505"/>
      <c r="H238" s="505"/>
      <c r="I238" s="505"/>
      <c r="J238" s="505"/>
      <c r="K238" s="505"/>
      <c r="L238" s="505"/>
      <c r="M238" s="505"/>
      <c r="N238" s="505"/>
      <c r="O238" s="505"/>
      <c r="P238" s="505"/>
      <c r="Q238" s="505"/>
      <c r="R238" s="505"/>
      <c r="S238" s="505"/>
      <c r="T238" s="505"/>
      <c r="U238" s="505"/>
      <c r="V238" s="505"/>
      <c r="W238" s="505"/>
      <c r="X238" s="505"/>
      <c r="Y238" s="505"/>
      <c r="Z238" s="505"/>
      <c r="AA238" s="505"/>
      <c r="AB238" s="505"/>
      <c r="AC238" s="505"/>
      <c r="AD238" s="505"/>
      <c r="AE238" s="505"/>
      <c r="AF238" s="505"/>
      <c r="AG238" s="505"/>
      <c r="AH238" s="505"/>
      <c r="AI238" s="505"/>
      <c r="AJ238" s="505"/>
      <c r="AK238" s="505"/>
      <c r="AL238" s="505"/>
    </row>
    <row r="239" spans="1:38" ht="9.9499999999999993" customHeight="1">
      <c r="A239" s="505"/>
      <c r="B239" s="505"/>
      <c r="C239" s="505"/>
      <c r="D239" s="505"/>
      <c r="E239" s="505"/>
      <c r="F239" s="505"/>
      <c r="G239" s="505"/>
      <c r="H239" s="505"/>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row>
    <row r="240" spans="1:38" ht="9.9499999999999993" customHeight="1">
      <c r="A240" s="505"/>
      <c r="B240" s="505"/>
      <c r="C240" s="505"/>
      <c r="D240" s="505"/>
      <c r="E240" s="505"/>
      <c r="F240" s="505"/>
      <c r="G240" s="505"/>
      <c r="H240" s="505"/>
      <c r="I240" s="505"/>
      <c r="J240" s="505"/>
      <c r="K240" s="505"/>
      <c r="L240" s="505"/>
      <c r="M240" s="505"/>
      <c r="N240" s="505"/>
      <c r="O240" s="505"/>
      <c r="P240" s="505"/>
      <c r="Q240" s="505"/>
      <c r="R240" s="505"/>
      <c r="S240" s="505"/>
      <c r="T240" s="505"/>
      <c r="U240" s="505"/>
      <c r="V240" s="505"/>
      <c r="W240" s="505"/>
      <c r="X240" s="505"/>
      <c r="Y240" s="505"/>
      <c r="Z240" s="505"/>
      <c r="AA240" s="505"/>
      <c r="AB240" s="505"/>
      <c r="AC240" s="505"/>
      <c r="AD240" s="505"/>
      <c r="AE240" s="505"/>
      <c r="AF240" s="505"/>
      <c r="AG240" s="505"/>
      <c r="AH240" s="505"/>
      <c r="AI240" s="505"/>
      <c r="AJ240" s="505"/>
      <c r="AK240" s="505"/>
      <c r="AL240" s="505"/>
    </row>
    <row r="241" spans="1:38" ht="9.9499999999999993" customHeight="1">
      <c r="A241" s="505"/>
      <c r="B241" s="505"/>
      <c r="C241" s="505"/>
      <c r="D241" s="505"/>
      <c r="E241" s="505"/>
      <c r="F241" s="505"/>
      <c r="G241" s="505"/>
      <c r="H241" s="505"/>
      <c r="I241" s="505"/>
      <c r="J241" s="505"/>
      <c r="K241" s="505"/>
      <c r="L241" s="505"/>
      <c r="M241" s="505"/>
      <c r="N241" s="505"/>
      <c r="O241" s="505"/>
      <c r="P241" s="505"/>
      <c r="Q241" s="505"/>
      <c r="R241" s="505"/>
      <c r="S241" s="505"/>
      <c r="T241" s="505"/>
      <c r="U241" s="505"/>
      <c r="V241" s="505"/>
      <c r="W241" s="505"/>
      <c r="X241" s="505"/>
      <c r="Y241" s="505"/>
      <c r="Z241" s="505"/>
      <c r="AA241" s="505"/>
      <c r="AB241" s="505"/>
      <c r="AC241" s="505"/>
      <c r="AD241" s="505"/>
      <c r="AE241" s="505"/>
      <c r="AF241" s="505"/>
      <c r="AG241" s="505"/>
      <c r="AH241" s="505"/>
      <c r="AI241" s="505"/>
      <c r="AJ241" s="505"/>
      <c r="AK241" s="505"/>
      <c r="AL241" s="505"/>
    </row>
    <row r="242" spans="1:38" ht="9.9499999999999993" customHeight="1">
      <c r="A242" s="505"/>
      <c r="B242" s="505"/>
      <c r="C242" s="505"/>
      <c r="D242" s="505"/>
      <c r="E242" s="505"/>
      <c r="F242" s="505"/>
      <c r="G242" s="505"/>
      <c r="H242" s="505"/>
      <c r="I242" s="505"/>
      <c r="J242" s="505"/>
      <c r="K242" s="505"/>
      <c r="L242" s="505"/>
      <c r="M242" s="505"/>
      <c r="N242" s="505"/>
      <c r="O242" s="505"/>
      <c r="P242" s="505"/>
      <c r="Q242" s="505"/>
      <c r="R242" s="505"/>
      <c r="S242" s="505"/>
      <c r="T242" s="505"/>
      <c r="U242" s="505"/>
      <c r="V242" s="505"/>
      <c r="W242" s="505"/>
      <c r="X242" s="505"/>
      <c r="Y242" s="505"/>
      <c r="Z242" s="505"/>
      <c r="AA242" s="505"/>
      <c r="AB242" s="505"/>
      <c r="AC242" s="505"/>
      <c r="AD242" s="505"/>
      <c r="AE242" s="505"/>
      <c r="AF242" s="505"/>
      <c r="AG242" s="505"/>
      <c r="AH242" s="505"/>
      <c r="AI242" s="505"/>
      <c r="AJ242" s="505"/>
      <c r="AK242" s="505"/>
      <c r="AL242" s="505"/>
    </row>
    <row r="243" spans="1:38" ht="9.9499999999999993" customHeight="1">
      <c r="A243" s="505"/>
      <c r="B243" s="505"/>
      <c r="C243" s="505"/>
      <c r="D243" s="505"/>
      <c r="E243" s="505"/>
      <c r="F243" s="505"/>
      <c r="G243" s="505"/>
      <c r="H243" s="505"/>
      <c r="I243" s="505"/>
      <c r="J243" s="505"/>
      <c r="K243" s="505"/>
      <c r="L243" s="505"/>
      <c r="M243" s="505"/>
      <c r="N243" s="505"/>
      <c r="O243" s="505"/>
      <c r="P243" s="505"/>
      <c r="Q243" s="505"/>
      <c r="R243" s="505"/>
      <c r="S243" s="505"/>
      <c r="T243" s="505"/>
      <c r="U243" s="505"/>
      <c r="V243" s="505"/>
      <c r="W243" s="505"/>
      <c r="X243" s="505"/>
      <c r="Y243" s="505"/>
      <c r="Z243" s="505"/>
      <c r="AA243" s="505"/>
      <c r="AB243" s="505"/>
      <c r="AC243" s="505"/>
      <c r="AD243" s="505"/>
      <c r="AE243" s="505"/>
      <c r="AF243" s="505"/>
      <c r="AG243" s="505"/>
      <c r="AH243" s="505"/>
      <c r="AI243" s="505"/>
      <c r="AJ243" s="505"/>
      <c r="AK243" s="505"/>
      <c r="AL243" s="505"/>
    </row>
    <row r="244" spans="1:38" ht="9.9499999999999993" customHeight="1">
      <c r="A244" s="505"/>
      <c r="B244" s="505"/>
      <c r="C244" s="505"/>
      <c r="D244" s="505"/>
      <c r="E244" s="505"/>
      <c r="F244" s="505"/>
      <c r="G244" s="505"/>
      <c r="H244" s="505"/>
      <c r="I244" s="505"/>
      <c r="J244" s="505"/>
      <c r="K244" s="505"/>
      <c r="L244" s="505"/>
      <c r="M244" s="505"/>
      <c r="N244" s="505"/>
      <c r="O244" s="505"/>
      <c r="P244" s="505"/>
      <c r="Q244" s="505"/>
      <c r="R244" s="505"/>
      <c r="S244" s="505"/>
      <c r="T244" s="505"/>
      <c r="U244" s="505"/>
      <c r="V244" s="505"/>
      <c r="W244" s="505"/>
      <c r="X244" s="505"/>
      <c r="Y244" s="505"/>
      <c r="Z244" s="505"/>
      <c r="AA244" s="505"/>
      <c r="AB244" s="505"/>
      <c r="AC244" s="505"/>
      <c r="AD244" s="505"/>
      <c r="AE244" s="505"/>
      <c r="AF244" s="505"/>
      <c r="AG244" s="505"/>
      <c r="AH244" s="505"/>
      <c r="AI244" s="505"/>
      <c r="AJ244" s="505"/>
      <c r="AK244" s="505"/>
      <c r="AL244" s="505"/>
    </row>
    <row r="245" spans="1:38" ht="9.9499999999999993" customHeight="1">
      <c r="A245" s="505"/>
      <c r="B245" s="505"/>
      <c r="C245" s="505"/>
      <c r="D245" s="505"/>
      <c r="E245" s="505"/>
      <c r="F245" s="505"/>
      <c r="G245" s="505"/>
      <c r="H245" s="505"/>
      <c r="I245" s="505"/>
      <c r="J245" s="505"/>
      <c r="K245" s="505"/>
      <c r="L245" s="505"/>
      <c r="M245" s="505"/>
      <c r="N245" s="505"/>
      <c r="O245" s="505"/>
      <c r="P245" s="505"/>
      <c r="Q245" s="505"/>
      <c r="R245" s="505"/>
      <c r="S245" s="505"/>
      <c r="T245" s="505"/>
      <c r="U245" s="505"/>
      <c r="V245" s="505"/>
      <c r="W245" s="505"/>
      <c r="X245" s="505"/>
      <c r="Y245" s="505"/>
      <c r="Z245" s="505"/>
      <c r="AA245" s="505"/>
      <c r="AB245" s="505"/>
      <c r="AC245" s="505"/>
      <c r="AD245" s="505"/>
      <c r="AE245" s="505"/>
      <c r="AF245" s="505"/>
      <c r="AG245" s="505"/>
      <c r="AH245" s="505"/>
      <c r="AI245" s="505"/>
      <c r="AJ245" s="505"/>
      <c r="AK245" s="505"/>
      <c r="AL245" s="505"/>
    </row>
    <row r="246" spans="1:38" ht="9.9499999999999993" customHeight="1">
      <c r="A246" s="505"/>
      <c r="B246" s="505"/>
      <c r="C246" s="505"/>
      <c r="D246" s="505"/>
      <c r="E246" s="505"/>
      <c r="F246" s="505"/>
      <c r="G246" s="505"/>
      <c r="H246" s="505"/>
      <c r="I246" s="505"/>
      <c r="J246" s="505"/>
      <c r="K246" s="505"/>
      <c r="L246" s="505"/>
      <c r="M246" s="505"/>
      <c r="N246" s="505"/>
      <c r="O246" s="505"/>
      <c r="P246" s="505"/>
      <c r="Q246" s="505"/>
      <c r="R246" s="505"/>
      <c r="S246" s="505"/>
      <c r="T246" s="505"/>
      <c r="U246" s="505"/>
      <c r="V246" s="505"/>
      <c r="W246" s="505"/>
      <c r="X246" s="505"/>
      <c r="Y246" s="505"/>
      <c r="Z246" s="505"/>
      <c r="AA246" s="505"/>
      <c r="AB246" s="505"/>
      <c r="AC246" s="505"/>
      <c r="AD246" s="505"/>
      <c r="AE246" s="505"/>
      <c r="AF246" s="505"/>
      <c r="AG246" s="505"/>
      <c r="AH246" s="505"/>
      <c r="AI246" s="505"/>
      <c r="AJ246" s="505"/>
      <c r="AK246" s="505"/>
      <c r="AL246" s="505"/>
    </row>
    <row r="247" spans="1:38" ht="9.9499999999999993" customHeight="1">
      <c r="A247" s="505"/>
      <c r="B247" s="505"/>
      <c r="C247" s="505"/>
      <c r="D247" s="505"/>
      <c r="E247" s="505"/>
      <c r="F247" s="505"/>
      <c r="G247" s="505"/>
      <c r="H247" s="505"/>
      <c r="I247" s="505"/>
      <c r="J247" s="505"/>
      <c r="K247" s="505"/>
      <c r="L247" s="505"/>
      <c r="M247" s="505"/>
      <c r="N247" s="505"/>
      <c r="O247" s="505"/>
      <c r="P247" s="505"/>
      <c r="Q247" s="505"/>
      <c r="R247" s="505"/>
      <c r="S247" s="505"/>
      <c r="T247" s="505"/>
      <c r="U247" s="505"/>
      <c r="V247" s="505"/>
      <c r="W247" s="505"/>
      <c r="X247" s="505"/>
      <c r="Y247" s="505"/>
      <c r="Z247" s="505"/>
      <c r="AA247" s="505"/>
      <c r="AB247" s="505"/>
      <c r="AC247" s="505"/>
      <c r="AD247" s="505"/>
      <c r="AE247" s="505"/>
      <c r="AF247" s="505"/>
      <c r="AG247" s="505"/>
      <c r="AH247" s="505"/>
      <c r="AI247" s="505"/>
      <c r="AJ247" s="505"/>
      <c r="AK247" s="505"/>
      <c r="AL247" s="505"/>
    </row>
    <row r="248" spans="1:38" ht="9.9499999999999993" customHeight="1">
      <c r="A248" s="505"/>
      <c r="B248" s="505"/>
      <c r="C248" s="505"/>
      <c r="D248" s="505"/>
      <c r="E248" s="505"/>
      <c r="F248" s="505"/>
      <c r="G248" s="505"/>
      <c r="H248" s="505"/>
      <c r="I248" s="505"/>
      <c r="J248" s="505"/>
      <c r="K248" s="505"/>
      <c r="L248" s="505"/>
      <c r="M248" s="505"/>
      <c r="N248" s="505"/>
      <c r="O248" s="505"/>
      <c r="P248" s="505"/>
      <c r="Q248" s="505"/>
      <c r="R248" s="505"/>
      <c r="S248" s="505"/>
      <c r="T248" s="505"/>
      <c r="U248" s="505"/>
      <c r="V248" s="505"/>
      <c r="W248" s="505"/>
      <c r="X248" s="505"/>
      <c r="Y248" s="505"/>
      <c r="Z248" s="505"/>
      <c r="AA248" s="505"/>
      <c r="AB248" s="505"/>
      <c r="AC248" s="505"/>
      <c r="AD248" s="505"/>
      <c r="AE248" s="505"/>
      <c r="AF248" s="505"/>
      <c r="AG248" s="505"/>
      <c r="AH248" s="505"/>
      <c r="AI248" s="505"/>
      <c r="AJ248" s="505"/>
      <c r="AK248" s="505"/>
      <c r="AL248" s="505"/>
    </row>
    <row r="249" spans="1:38" ht="9.9499999999999993" customHeight="1">
      <c r="A249" s="505"/>
      <c r="B249" s="505"/>
      <c r="C249" s="505"/>
      <c r="D249" s="505"/>
      <c r="E249" s="505"/>
      <c r="F249" s="505"/>
      <c r="G249" s="505"/>
      <c r="H249" s="505"/>
      <c r="I249" s="505"/>
      <c r="J249" s="505"/>
      <c r="K249" s="505"/>
      <c r="L249" s="505"/>
      <c r="M249" s="505"/>
      <c r="N249" s="505"/>
      <c r="O249" s="505"/>
      <c r="P249" s="505"/>
      <c r="Q249" s="505"/>
      <c r="R249" s="505"/>
      <c r="S249" s="505"/>
      <c r="T249" s="505"/>
      <c r="U249" s="505"/>
      <c r="V249" s="505"/>
      <c r="W249" s="505"/>
      <c r="X249" s="505"/>
      <c r="Y249" s="505"/>
      <c r="Z249" s="505"/>
      <c r="AA249" s="505"/>
      <c r="AB249" s="505"/>
      <c r="AC249" s="505"/>
      <c r="AD249" s="505"/>
      <c r="AE249" s="505"/>
      <c r="AF249" s="505"/>
      <c r="AG249" s="505"/>
      <c r="AH249" s="505"/>
      <c r="AI249" s="505"/>
      <c r="AJ249" s="505"/>
      <c r="AK249" s="505"/>
      <c r="AL249" s="505"/>
    </row>
    <row r="250" spans="1:38" ht="9.9499999999999993" customHeight="1">
      <c r="A250" s="505"/>
      <c r="B250" s="505"/>
      <c r="C250" s="505"/>
      <c r="D250" s="505"/>
      <c r="E250" s="505"/>
      <c r="F250" s="505"/>
      <c r="G250" s="505"/>
      <c r="H250" s="505"/>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row>
    <row r="251" spans="1:38" ht="9.9499999999999993" customHeight="1">
      <c r="A251" s="505"/>
      <c r="B251" s="505"/>
      <c r="C251" s="505"/>
      <c r="D251" s="505"/>
      <c r="E251" s="505"/>
      <c r="F251" s="505"/>
      <c r="G251" s="505"/>
      <c r="H251" s="505"/>
      <c r="I251" s="505"/>
      <c r="J251" s="505"/>
      <c r="K251" s="505"/>
      <c r="L251" s="505"/>
      <c r="M251" s="505"/>
      <c r="N251" s="505"/>
      <c r="O251" s="505"/>
      <c r="P251" s="505"/>
      <c r="Q251" s="505"/>
      <c r="R251" s="505"/>
      <c r="S251" s="505"/>
      <c r="T251" s="505"/>
      <c r="U251" s="505"/>
      <c r="V251" s="505"/>
      <c r="W251" s="505"/>
      <c r="X251" s="505"/>
      <c r="Y251" s="505"/>
      <c r="Z251" s="505"/>
      <c r="AA251" s="505"/>
      <c r="AB251" s="505"/>
      <c r="AC251" s="505"/>
      <c r="AD251" s="505"/>
      <c r="AE251" s="505"/>
      <c r="AF251" s="505"/>
      <c r="AG251" s="505"/>
      <c r="AH251" s="505"/>
      <c r="AI251" s="505"/>
      <c r="AJ251" s="505"/>
      <c r="AK251" s="505"/>
      <c r="AL251" s="505"/>
    </row>
    <row r="252" spans="1:38" ht="9.9499999999999993" customHeight="1">
      <c r="A252" s="505"/>
      <c r="B252" s="505"/>
      <c r="C252" s="505"/>
      <c r="D252" s="505"/>
      <c r="E252" s="505"/>
      <c r="F252" s="505"/>
      <c r="G252" s="505"/>
      <c r="H252" s="505"/>
      <c r="I252" s="505"/>
      <c r="J252" s="505"/>
      <c r="K252" s="505"/>
      <c r="L252" s="505"/>
      <c r="M252" s="505"/>
      <c r="N252" s="505"/>
      <c r="O252" s="505"/>
      <c r="P252" s="505"/>
      <c r="Q252" s="505"/>
      <c r="R252" s="505"/>
      <c r="S252" s="505"/>
      <c r="T252" s="505"/>
      <c r="U252" s="505"/>
      <c r="V252" s="505"/>
      <c r="W252" s="505"/>
      <c r="X252" s="505"/>
      <c r="Y252" s="505"/>
      <c r="Z252" s="505"/>
      <c r="AA252" s="505"/>
      <c r="AB252" s="505"/>
      <c r="AC252" s="505"/>
      <c r="AD252" s="505"/>
      <c r="AE252" s="505"/>
      <c r="AF252" s="505"/>
      <c r="AG252" s="505"/>
      <c r="AH252" s="505"/>
      <c r="AI252" s="505"/>
      <c r="AJ252" s="505"/>
      <c r="AK252" s="505"/>
      <c r="AL252" s="505"/>
    </row>
    <row r="253" spans="1:38" ht="9.9499999999999993" customHeight="1">
      <c r="A253" s="505"/>
      <c r="B253" s="505"/>
      <c r="C253" s="505"/>
      <c r="D253" s="505"/>
      <c r="E253" s="505"/>
      <c r="F253" s="505"/>
      <c r="G253" s="505"/>
      <c r="H253" s="505"/>
      <c r="I253" s="505"/>
      <c r="J253" s="505"/>
      <c r="K253" s="505"/>
      <c r="L253" s="505"/>
      <c r="M253" s="505"/>
      <c r="N253" s="505"/>
      <c r="O253" s="505"/>
      <c r="P253" s="505"/>
      <c r="Q253" s="505"/>
      <c r="R253" s="505"/>
      <c r="S253" s="505"/>
      <c r="T253" s="505"/>
      <c r="U253" s="505"/>
      <c r="V253" s="505"/>
      <c r="W253" s="505"/>
      <c r="X253" s="505"/>
      <c r="Y253" s="505"/>
      <c r="Z253" s="505"/>
      <c r="AA253" s="505"/>
      <c r="AB253" s="505"/>
      <c r="AC253" s="505"/>
      <c r="AD253" s="505"/>
      <c r="AE253" s="505"/>
      <c r="AF253" s="505"/>
      <c r="AG253" s="505"/>
      <c r="AH253" s="505"/>
      <c r="AI253" s="505"/>
      <c r="AJ253" s="505"/>
      <c r="AK253" s="505"/>
      <c r="AL253" s="505"/>
    </row>
    <row r="254" spans="1:38" ht="9.9499999999999993" customHeight="1">
      <c r="A254" s="505"/>
      <c r="B254" s="505"/>
      <c r="C254" s="505"/>
      <c r="D254" s="505"/>
      <c r="E254" s="505"/>
      <c r="F254" s="505"/>
      <c r="G254" s="505"/>
      <c r="H254" s="505"/>
      <c r="I254" s="505"/>
      <c r="J254" s="505"/>
      <c r="K254" s="505"/>
      <c r="L254" s="505"/>
      <c r="M254" s="505"/>
      <c r="N254" s="505"/>
      <c r="O254" s="505"/>
      <c r="P254" s="505"/>
      <c r="Q254" s="505"/>
      <c r="R254" s="505"/>
      <c r="S254" s="505"/>
      <c r="T254" s="505"/>
      <c r="U254" s="505"/>
      <c r="V254" s="505"/>
      <c r="W254" s="505"/>
      <c r="X254" s="505"/>
      <c r="Y254" s="505"/>
      <c r="Z254" s="505"/>
      <c r="AA254" s="505"/>
      <c r="AB254" s="505"/>
      <c r="AC254" s="505"/>
      <c r="AD254" s="505"/>
      <c r="AE254" s="505"/>
      <c r="AF254" s="505"/>
      <c r="AG254" s="505"/>
      <c r="AH254" s="505"/>
      <c r="AI254" s="505"/>
      <c r="AJ254" s="505"/>
      <c r="AK254" s="505"/>
      <c r="AL254" s="505"/>
    </row>
    <row r="255" spans="1:38" ht="9.9499999999999993" customHeight="1">
      <c r="A255" s="505"/>
      <c r="B255" s="505"/>
      <c r="C255" s="505"/>
      <c r="D255" s="505"/>
      <c r="E255" s="505"/>
      <c r="F255" s="505"/>
      <c r="G255" s="505"/>
      <c r="H255" s="505"/>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row>
    <row r="256" spans="1:38" ht="9.9499999999999993" customHeight="1">
      <c r="A256" s="505"/>
      <c r="B256" s="505"/>
      <c r="C256" s="505"/>
      <c r="D256" s="505"/>
      <c r="E256" s="505"/>
      <c r="F256" s="505"/>
      <c r="G256" s="505"/>
      <c r="H256" s="505"/>
      <c r="I256" s="505"/>
      <c r="J256" s="505"/>
      <c r="K256" s="505"/>
      <c r="L256" s="505"/>
      <c r="M256" s="505"/>
      <c r="N256" s="505"/>
      <c r="O256" s="505"/>
      <c r="P256" s="505"/>
      <c r="Q256" s="505"/>
      <c r="R256" s="505"/>
      <c r="S256" s="505"/>
      <c r="T256" s="505"/>
      <c r="U256" s="505"/>
      <c r="V256" s="505"/>
      <c r="W256" s="505"/>
      <c r="X256" s="505"/>
      <c r="Y256" s="505"/>
      <c r="Z256" s="505"/>
      <c r="AA256" s="505"/>
      <c r="AB256" s="505"/>
      <c r="AC256" s="505"/>
      <c r="AD256" s="505"/>
      <c r="AE256" s="505"/>
      <c r="AF256" s="505"/>
      <c r="AG256" s="505"/>
      <c r="AH256" s="505"/>
      <c r="AI256" s="505"/>
      <c r="AJ256" s="505"/>
      <c r="AK256" s="505"/>
      <c r="AL256" s="505"/>
    </row>
    <row r="257" spans="1:38" ht="9.9499999999999993" customHeight="1">
      <c r="A257" s="505"/>
      <c r="B257" s="505"/>
      <c r="C257" s="505"/>
      <c r="D257" s="505"/>
      <c r="E257" s="505"/>
      <c r="F257" s="505"/>
      <c r="G257" s="505"/>
      <c r="H257" s="505"/>
      <c r="I257" s="505"/>
      <c r="J257" s="505"/>
      <c r="K257" s="505"/>
      <c r="L257" s="505"/>
      <c r="M257" s="505"/>
      <c r="N257" s="505"/>
      <c r="O257" s="505"/>
      <c r="P257" s="505"/>
      <c r="Q257" s="505"/>
      <c r="R257" s="505"/>
      <c r="S257" s="505"/>
      <c r="T257" s="505"/>
      <c r="U257" s="505"/>
      <c r="V257" s="505"/>
      <c r="W257" s="505"/>
      <c r="X257" s="505"/>
      <c r="Y257" s="505"/>
      <c r="Z257" s="505"/>
      <c r="AA257" s="505"/>
      <c r="AB257" s="505"/>
      <c r="AC257" s="505"/>
      <c r="AD257" s="505"/>
      <c r="AE257" s="505"/>
      <c r="AF257" s="505"/>
      <c r="AG257" s="505"/>
      <c r="AH257" s="505"/>
      <c r="AI257" s="505"/>
      <c r="AJ257" s="505"/>
      <c r="AK257" s="505"/>
      <c r="AL257" s="505"/>
    </row>
    <row r="258" spans="1:38" ht="9.9499999999999993" customHeight="1">
      <c r="A258" s="505"/>
      <c r="B258" s="505"/>
      <c r="C258" s="505"/>
      <c r="D258" s="505"/>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5"/>
      <c r="AD258" s="505"/>
      <c r="AE258" s="505"/>
      <c r="AF258" s="505"/>
      <c r="AG258" s="505"/>
      <c r="AH258" s="505"/>
      <c r="AI258" s="505"/>
      <c r="AJ258" s="505"/>
      <c r="AK258" s="505"/>
      <c r="AL258" s="505"/>
    </row>
    <row r="259" spans="1:38" ht="9.9499999999999993" customHeight="1">
      <c r="A259" s="505"/>
      <c r="B259" s="505"/>
      <c r="C259" s="505"/>
      <c r="D259" s="505"/>
      <c r="E259" s="505"/>
      <c r="F259" s="505"/>
      <c r="G259" s="505"/>
      <c r="H259" s="505"/>
      <c r="I259" s="505"/>
      <c r="J259" s="505"/>
      <c r="K259" s="505"/>
      <c r="L259" s="505"/>
      <c r="M259" s="505"/>
      <c r="N259" s="505"/>
      <c r="O259" s="505"/>
      <c r="P259" s="505"/>
      <c r="Q259" s="505"/>
      <c r="R259" s="505"/>
      <c r="S259" s="505"/>
      <c r="T259" s="505"/>
      <c r="U259" s="505"/>
      <c r="V259" s="505"/>
      <c r="W259" s="505"/>
      <c r="X259" s="505"/>
      <c r="Y259" s="505"/>
      <c r="Z259" s="505"/>
      <c r="AA259" s="505"/>
      <c r="AB259" s="505"/>
      <c r="AC259" s="505"/>
      <c r="AD259" s="505"/>
      <c r="AE259" s="505"/>
      <c r="AF259" s="505"/>
      <c r="AG259" s="505"/>
      <c r="AH259" s="505"/>
      <c r="AI259" s="505"/>
      <c r="AJ259" s="505"/>
      <c r="AK259" s="505"/>
      <c r="AL259" s="505"/>
    </row>
    <row r="260" spans="1:38" ht="9.9499999999999993" customHeight="1">
      <c r="A260" s="505"/>
      <c r="B260" s="505"/>
      <c r="C260" s="505"/>
      <c r="D260" s="505"/>
      <c r="E260" s="505"/>
      <c r="F260" s="505"/>
      <c r="G260" s="505"/>
      <c r="H260" s="505"/>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row>
    <row r="261" spans="1:38" ht="9.9499999999999993" customHeight="1">
      <c r="A261" s="505"/>
      <c r="B261" s="505"/>
      <c r="C261" s="505"/>
      <c r="D261" s="505"/>
      <c r="E261" s="505"/>
      <c r="F261" s="505"/>
      <c r="G261" s="505"/>
      <c r="H261" s="505"/>
      <c r="I261" s="505"/>
      <c r="J261" s="505"/>
      <c r="K261" s="505"/>
      <c r="L261" s="505"/>
      <c r="M261" s="505"/>
      <c r="N261" s="505"/>
      <c r="O261" s="505"/>
      <c r="P261" s="505"/>
      <c r="Q261" s="505"/>
      <c r="R261" s="505"/>
      <c r="S261" s="505"/>
      <c r="T261" s="505"/>
      <c r="U261" s="505"/>
      <c r="V261" s="505"/>
      <c r="W261" s="505"/>
      <c r="X261" s="505"/>
      <c r="Y261" s="505"/>
      <c r="Z261" s="505"/>
      <c r="AA261" s="505"/>
      <c r="AB261" s="505"/>
      <c r="AC261" s="505"/>
      <c r="AD261" s="505"/>
      <c r="AE261" s="505"/>
      <c r="AF261" s="505"/>
      <c r="AG261" s="505"/>
      <c r="AH261" s="505"/>
      <c r="AI261" s="505"/>
      <c r="AJ261" s="505"/>
      <c r="AK261" s="505"/>
      <c r="AL261" s="505"/>
    </row>
    <row r="262" spans="1:38" ht="9.9499999999999993" customHeight="1">
      <c r="A262" s="505"/>
      <c r="B262" s="505"/>
      <c r="C262" s="505"/>
      <c r="D262" s="505"/>
      <c r="E262" s="505"/>
      <c r="F262" s="505"/>
      <c r="G262" s="505"/>
      <c r="H262" s="505"/>
      <c r="I262" s="505"/>
      <c r="J262" s="505"/>
      <c r="K262" s="505"/>
      <c r="L262" s="505"/>
      <c r="M262" s="505"/>
      <c r="N262" s="505"/>
      <c r="O262" s="505"/>
      <c r="P262" s="505"/>
      <c r="Q262" s="505"/>
      <c r="R262" s="505"/>
      <c r="S262" s="505"/>
      <c r="T262" s="505"/>
      <c r="U262" s="505"/>
      <c r="V262" s="505"/>
      <c r="W262" s="505"/>
      <c r="X262" s="505"/>
      <c r="Y262" s="505"/>
      <c r="Z262" s="505"/>
      <c r="AA262" s="505"/>
      <c r="AB262" s="505"/>
      <c r="AC262" s="505"/>
      <c r="AD262" s="505"/>
      <c r="AE262" s="505"/>
      <c r="AF262" s="505"/>
      <c r="AG262" s="505"/>
      <c r="AH262" s="505"/>
      <c r="AI262" s="505"/>
      <c r="AJ262" s="505"/>
      <c r="AK262" s="505"/>
      <c r="AL262" s="505"/>
    </row>
    <row r="263" spans="1:38" ht="9.9499999999999993" customHeight="1">
      <c r="A263" s="505"/>
      <c r="B263" s="505"/>
      <c r="C263" s="505"/>
      <c r="D263" s="505"/>
      <c r="E263" s="505"/>
      <c r="F263" s="505"/>
      <c r="G263" s="505"/>
      <c r="H263" s="505"/>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row>
    <row r="264" spans="1:38" ht="9.9499999999999993" customHeight="1">
      <c r="A264" s="505"/>
      <c r="B264" s="505"/>
      <c r="C264" s="505"/>
      <c r="D264" s="505"/>
      <c r="E264" s="505"/>
      <c r="F264" s="505"/>
      <c r="G264" s="505"/>
      <c r="H264" s="505"/>
      <c r="I264" s="505"/>
      <c r="J264" s="505"/>
      <c r="K264" s="505"/>
      <c r="L264" s="505"/>
      <c r="M264" s="505"/>
      <c r="N264" s="505"/>
      <c r="O264" s="505"/>
      <c r="P264" s="505"/>
      <c r="Q264" s="505"/>
      <c r="R264" s="505"/>
      <c r="S264" s="505"/>
      <c r="T264" s="505"/>
      <c r="U264" s="505"/>
      <c r="V264" s="505"/>
      <c r="W264" s="505"/>
      <c r="X264" s="505"/>
      <c r="Y264" s="505"/>
      <c r="Z264" s="505"/>
      <c r="AA264" s="505"/>
      <c r="AB264" s="505"/>
      <c r="AC264" s="505"/>
      <c r="AD264" s="505"/>
      <c r="AE264" s="505"/>
      <c r="AF264" s="505"/>
      <c r="AG264" s="505"/>
      <c r="AH264" s="505"/>
      <c r="AI264" s="505"/>
      <c r="AJ264" s="505"/>
      <c r="AK264" s="505"/>
      <c r="AL264" s="505"/>
    </row>
    <row r="265" spans="1:38" ht="9.9499999999999993" customHeight="1">
      <c r="A265" s="505"/>
      <c r="B265" s="505"/>
      <c r="C265" s="505"/>
      <c r="D265" s="505"/>
      <c r="E265" s="505"/>
      <c r="F265" s="505"/>
      <c r="G265" s="505"/>
      <c r="H265" s="505"/>
      <c r="I265" s="505"/>
      <c r="J265" s="505"/>
      <c r="K265" s="505"/>
      <c r="L265" s="505"/>
      <c r="M265" s="505"/>
      <c r="N265" s="505"/>
      <c r="O265" s="505"/>
      <c r="P265" s="505"/>
      <c r="Q265" s="505"/>
      <c r="R265" s="505"/>
      <c r="S265" s="505"/>
      <c r="T265" s="505"/>
      <c r="U265" s="505"/>
      <c r="V265" s="505"/>
      <c r="W265" s="505"/>
      <c r="X265" s="505"/>
      <c r="Y265" s="505"/>
      <c r="Z265" s="505"/>
      <c r="AA265" s="505"/>
      <c r="AB265" s="505"/>
      <c r="AC265" s="505"/>
      <c r="AD265" s="505"/>
      <c r="AE265" s="505"/>
      <c r="AF265" s="505"/>
      <c r="AG265" s="505"/>
      <c r="AH265" s="505"/>
      <c r="AI265" s="505"/>
      <c r="AJ265" s="505"/>
      <c r="AK265" s="505"/>
      <c r="AL265" s="505"/>
    </row>
    <row r="266" spans="1:38" ht="9.9499999999999993" customHeight="1">
      <c r="A266" s="505"/>
      <c r="B266" s="505"/>
      <c r="C266" s="505"/>
      <c r="D266" s="505"/>
      <c r="E266" s="505"/>
      <c r="F266" s="505"/>
      <c r="G266" s="505"/>
      <c r="H266" s="505"/>
      <c r="I266" s="505"/>
      <c r="J266" s="505"/>
      <c r="K266" s="505"/>
      <c r="L266" s="505"/>
      <c r="M266" s="505"/>
      <c r="N266" s="505"/>
      <c r="O266" s="505"/>
      <c r="P266" s="505"/>
      <c r="Q266" s="505"/>
      <c r="R266" s="505"/>
      <c r="S266" s="505"/>
      <c r="T266" s="505"/>
      <c r="U266" s="505"/>
      <c r="V266" s="505"/>
      <c r="W266" s="505"/>
      <c r="X266" s="505"/>
      <c r="Y266" s="505"/>
      <c r="Z266" s="505"/>
      <c r="AA266" s="505"/>
      <c r="AB266" s="505"/>
      <c r="AC266" s="505"/>
      <c r="AD266" s="505"/>
      <c r="AE266" s="505"/>
      <c r="AF266" s="505"/>
      <c r="AG266" s="505"/>
      <c r="AH266" s="505"/>
      <c r="AI266" s="505"/>
      <c r="AJ266" s="505"/>
      <c r="AK266" s="505"/>
      <c r="AL266" s="505"/>
    </row>
    <row r="267" spans="1:38" ht="9.9499999999999993" customHeight="1">
      <c r="A267" s="505"/>
      <c r="B267" s="505"/>
      <c r="C267" s="505"/>
      <c r="D267" s="505"/>
      <c r="E267" s="505"/>
      <c r="F267" s="505"/>
      <c r="G267" s="505"/>
      <c r="H267" s="505"/>
      <c r="I267" s="505"/>
      <c r="J267" s="505"/>
      <c r="K267" s="505"/>
      <c r="L267" s="505"/>
      <c r="M267" s="505"/>
      <c r="N267" s="505"/>
      <c r="O267" s="505"/>
      <c r="P267" s="505"/>
      <c r="Q267" s="505"/>
      <c r="R267" s="505"/>
      <c r="S267" s="505"/>
      <c r="T267" s="505"/>
      <c r="U267" s="505"/>
      <c r="V267" s="505"/>
      <c r="W267" s="505"/>
      <c r="X267" s="505"/>
      <c r="Y267" s="505"/>
      <c r="Z267" s="505"/>
      <c r="AA267" s="505"/>
      <c r="AB267" s="505"/>
      <c r="AC267" s="505"/>
      <c r="AD267" s="505"/>
      <c r="AE267" s="505"/>
      <c r="AF267" s="505"/>
      <c r="AG267" s="505"/>
      <c r="AH267" s="505"/>
      <c r="AI267" s="505"/>
      <c r="AJ267" s="505"/>
      <c r="AK267" s="505"/>
      <c r="AL267" s="505"/>
    </row>
    <row r="268" spans="1:38" ht="9.9499999999999993" customHeight="1">
      <c r="A268" s="505"/>
      <c r="B268" s="505"/>
      <c r="C268" s="505"/>
      <c r="D268" s="505"/>
      <c r="E268" s="505"/>
      <c r="F268" s="505"/>
      <c r="G268" s="505"/>
      <c r="H268" s="505"/>
      <c r="I268" s="505"/>
      <c r="J268" s="505"/>
      <c r="K268" s="505"/>
      <c r="L268" s="505"/>
      <c r="M268" s="505"/>
      <c r="N268" s="505"/>
      <c r="O268" s="505"/>
      <c r="P268" s="505"/>
      <c r="Q268" s="505"/>
      <c r="R268" s="505"/>
      <c r="S268" s="505"/>
      <c r="T268" s="505"/>
      <c r="U268" s="505"/>
      <c r="V268" s="505"/>
      <c r="W268" s="505"/>
      <c r="X268" s="505"/>
      <c r="Y268" s="505"/>
      <c r="Z268" s="505"/>
      <c r="AA268" s="505"/>
      <c r="AB268" s="505"/>
      <c r="AC268" s="505"/>
      <c r="AD268" s="505"/>
      <c r="AE268" s="505"/>
      <c r="AF268" s="505"/>
      <c r="AG268" s="505"/>
      <c r="AH268" s="505"/>
      <c r="AI268" s="505"/>
      <c r="AJ268" s="505"/>
      <c r="AK268" s="505"/>
      <c r="AL268" s="505"/>
    </row>
    <row r="269" spans="1:38" ht="9.9499999999999993" customHeight="1">
      <c r="A269" s="505"/>
      <c r="B269" s="505"/>
      <c r="C269" s="505"/>
      <c r="D269" s="505"/>
      <c r="E269" s="505"/>
      <c r="F269" s="505"/>
      <c r="G269" s="505"/>
      <c r="H269" s="505"/>
      <c r="I269" s="505"/>
      <c r="J269" s="505"/>
      <c r="K269" s="505"/>
      <c r="L269" s="505"/>
      <c r="M269" s="505"/>
      <c r="N269" s="505"/>
      <c r="O269" s="505"/>
      <c r="P269" s="505"/>
      <c r="Q269" s="505"/>
      <c r="R269" s="505"/>
      <c r="S269" s="505"/>
      <c r="T269" s="505"/>
      <c r="U269" s="505"/>
      <c r="V269" s="505"/>
      <c r="W269" s="505"/>
      <c r="X269" s="505"/>
      <c r="Y269" s="505"/>
      <c r="Z269" s="505"/>
      <c r="AA269" s="505"/>
      <c r="AB269" s="505"/>
      <c r="AC269" s="505"/>
      <c r="AD269" s="505"/>
      <c r="AE269" s="505"/>
      <c r="AF269" s="505"/>
      <c r="AG269" s="505"/>
      <c r="AH269" s="505"/>
      <c r="AI269" s="505"/>
      <c r="AJ269" s="505"/>
      <c r="AK269" s="505"/>
      <c r="AL269" s="505"/>
    </row>
    <row r="270" spans="1:38" ht="9.9499999999999993" customHeight="1">
      <c r="A270" s="505"/>
      <c r="B270" s="505"/>
      <c r="C270" s="505"/>
      <c r="D270" s="505"/>
      <c r="E270" s="505"/>
      <c r="F270" s="505"/>
      <c r="G270" s="505"/>
      <c r="H270" s="505"/>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row>
    <row r="271" spans="1:38" ht="9.9499999999999993" customHeight="1">
      <c r="A271" s="505"/>
      <c r="B271" s="505"/>
      <c r="C271" s="505"/>
      <c r="D271" s="505"/>
      <c r="E271" s="505"/>
      <c r="F271" s="505"/>
      <c r="G271" s="505"/>
      <c r="H271" s="505"/>
      <c r="I271" s="505"/>
      <c r="J271" s="505"/>
      <c r="K271" s="505"/>
      <c r="L271" s="505"/>
      <c r="M271" s="505"/>
      <c r="N271" s="505"/>
      <c r="O271" s="505"/>
      <c r="P271" s="505"/>
      <c r="Q271" s="505"/>
      <c r="R271" s="505"/>
      <c r="S271" s="505"/>
      <c r="T271" s="505"/>
      <c r="U271" s="505"/>
      <c r="V271" s="505"/>
      <c r="W271" s="505"/>
      <c r="X271" s="505"/>
      <c r="Y271" s="505"/>
      <c r="Z271" s="505"/>
      <c r="AA271" s="505"/>
      <c r="AB271" s="505"/>
      <c r="AC271" s="505"/>
      <c r="AD271" s="505"/>
      <c r="AE271" s="505"/>
      <c r="AF271" s="505"/>
      <c r="AG271" s="505"/>
      <c r="AH271" s="505"/>
      <c r="AI271" s="505"/>
      <c r="AJ271" s="505"/>
      <c r="AK271" s="505"/>
      <c r="AL271" s="505"/>
    </row>
    <row r="272" spans="1:38" ht="9.9499999999999993" customHeight="1">
      <c r="A272" s="505"/>
      <c r="B272" s="505"/>
      <c r="C272" s="505"/>
      <c r="D272" s="505"/>
      <c r="E272" s="505"/>
      <c r="F272" s="505"/>
      <c r="G272" s="505"/>
      <c r="H272" s="505"/>
      <c r="I272" s="505"/>
      <c r="J272" s="505"/>
      <c r="K272" s="505"/>
      <c r="L272" s="505"/>
      <c r="M272" s="505"/>
      <c r="N272" s="505"/>
      <c r="O272" s="505"/>
      <c r="P272" s="505"/>
      <c r="Q272" s="505"/>
      <c r="R272" s="505"/>
      <c r="S272" s="505"/>
      <c r="T272" s="505"/>
      <c r="U272" s="505"/>
      <c r="V272" s="505"/>
      <c r="W272" s="505"/>
      <c r="X272" s="505"/>
      <c r="Y272" s="505"/>
      <c r="Z272" s="505"/>
      <c r="AA272" s="505"/>
      <c r="AB272" s="505"/>
      <c r="AC272" s="505"/>
      <c r="AD272" s="505"/>
      <c r="AE272" s="505"/>
      <c r="AF272" s="505"/>
      <c r="AG272" s="505"/>
      <c r="AH272" s="505"/>
      <c r="AI272" s="505"/>
      <c r="AJ272" s="505"/>
      <c r="AK272" s="505"/>
      <c r="AL272" s="505"/>
    </row>
    <row r="273" spans="1:38" ht="9.9499999999999993" customHeight="1">
      <c r="A273" s="505"/>
      <c r="B273" s="505"/>
      <c r="C273" s="505"/>
      <c r="D273" s="505"/>
      <c r="E273" s="505"/>
      <c r="F273" s="505"/>
      <c r="G273" s="505"/>
      <c r="H273" s="505"/>
      <c r="I273" s="505"/>
      <c r="J273" s="505"/>
      <c r="K273" s="505"/>
      <c r="L273" s="505"/>
      <c r="M273" s="505"/>
      <c r="N273" s="505"/>
      <c r="O273" s="505"/>
      <c r="P273" s="505"/>
      <c r="Q273" s="505"/>
      <c r="R273" s="505"/>
      <c r="S273" s="505"/>
      <c r="T273" s="505"/>
      <c r="U273" s="505"/>
      <c r="V273" s="505"/>
      <c r="W273" s="505"/>
      <c r="X273" s="505"/>
      <c r="Y273" s="505"/>
      <c r="Z273" s="505"/>
      <c r="AA273" s="505"/>
      <c r="AB273" s="505"/>
      <c r="AC273" s="505"/>
      <c r="AD273" s="505"/>
      <c r="AE273" s="505"/>
      <c r="AF273" s="505"/>
      <c r="AG273" s="505"/>
      <c r="AH273" s="505"/>
      <c r="AI273" s="505"/>
      <c r="AJ273" s="505"/>
      <c r="AK273" s="505"/>
      <c r="AL273" s="505"/>
    </row>
    <row r="274" spans="1:38" ht="9.9499999999999993" customHeight="1">
      <c r="A274" s="505"/>
      <c r="B274" s="505"/>
      <c r="C274" s="505"/>
      <c r="D274" s="505"/>
      <c r="E274" s="505"/>
      <c r="F274" s="505"/>
      <c r="G274" s="505"/>
      <c r="H274" s="505"/>
      <c r="I274" s="505"/>
      <c r="J274" s="505"/>
      <c r="K274" s="505"/>
      <c r="L274" s="505"/>
      <c r="M274" s="505"/>
      <c r="N274" s="505"/>
      <c r="O274" s="505"/>
      <c r="P274" s="505"/>
      <c r="Q274" s="505"/>
      <c r="R274" s="505"/>
      <c r="S274" s="505"/>
      <c r="T274" s="505"/>
      <c r="U274" s="505"/>
      <c r="V274" s="505"/>
      <c r="W274" s="505"/>
      <c r="X274" s="505"/>
      <c r="Y274" s="505"/>
      <c r="Z274" s="505"/>
      <c r="AA274" s="505"/>
      <c r="AB274" s="505"/>
      <c r="AC274" s="505"/>
      <c r="AD274" s="505"/>
      <c r="AE274" s="505"/>
      <c r="AF274" s="505"/>
      <c r="AG274" s="505"/>
      <c r="AH274" s="505"/>
      <c r="AI274" s="505"/>
      <c r="AJ274" s="505"/>
      <c r="AK274" s="505"/>
      <c r="AL274" s="505"/>
    </row>
    <row r="275" spans="1:38" ht="9.9499999999999993" customHeight="1">
      <c r="A275" s="505"/>
      <c r="B275" s="505"/>
      <c r="C275" s="505"/>
      <c r="D275" s="505"/>
      <c r="E275" s="505"/>
      <c r="F275" s="505"/>
      <c r="G275" s="505"/>
      <c r="H275" s="505"/>
      <c r="I275" s="505"/>
      <c r="J275" s="505"/>
      <c r="K275" s="505"/>
      <c r="L275" s="505"/>
      <c r="M275" s="505"/>
      <c r="N275" s="505"/>
      <c r="O275" s="505"/>
      <c r="P275" s="505"/>
      <c r="Q275" s="505"/>
      <c r="R275" s="505"/>
      <c r="S275" s="505"/>
      <c r="T275" s="505"/>
      <c r="U275" s="505"/>
      <c r="V275" s="505"/>
      <c r="W275" s="505"/>
      <c r="X275" s="505"/>
      <c r="Y275" s="505"/>
      <c r="Z275" s="505"/>
      <c r="AA275" s="505"/>
      <c r="AB275" s="505"/>
      <c r="AC275" s="505"/>
      <c r="AD275" s="505"/>
      <c r="AE275" s="505"/>
      <c r="AF275" s="505"/>
      <c r="AG275" s="505"/>
      <c r="AH275" s="505"/>
      <c r="AI275" s="505"/>
      <c r="AJ275" s="505"/>
      <c r="AK275" s="505"/>
      <c r="AL275" s="505"/>
    </row>
    <row r="276" spans="1:38" ht="9.9499999999999993" customHeight="1">
      <c r="A276" s="505"/>
      <c r="B276" s="505"/>
      <c r="C276" s="505"/>
      <c r="D276" s="505"/>
      <c r="E276" s="505"/>
      <c r="F276" s="505"/>
      <c r="G276" s="505"/>
      <c r="H276" s="505"/>
      <c r="I276" s="505"/>
      <c r="J276" s="505"/>
      <c r="K276" s="505"/>
      <c r="L276" s="505"/>
      <c r="M276" s="505"/>
      <c r="N276" s="505"/>
      <c r="O276" s="505"/>
      <c r="P276" s="505"/>
      <c r="Q276" s="505"/>
      <c r="R276" s="505"/>
      <c r="S276" s="505"/>
      <c r="T276" s="505"/>
      <c r="U276" s="505"/>
      <c r="V276" s="505"/>
      <c r="W276" s="505"/>
      <c r="X276" s="505"/>
      <c r="Y276" s="505"/>
      <c r="Z276" s="505"/>
      <c r="AA276" s="505"/>
      <c r="AB276" s="505"/>
      <c r="AC276" s="505"/>
      <c r="AD276" s="505"/>
      <c r="AE276" s="505"/>
      <c r="AF276" s="505"/>
      <c r="AG276" s="505"/>
      <c r="AH276" s="505"/>
      <c r="AI276" s="505"/>
      <c r="AJ276" s="505"/>
      <c r="AK276" s="505"/>
      <c r="AL276" s="505"/>
    </row>
    <row r="277" spans="1:38" ht="9.9499999999999993" customHeight="1">
      <c r="A277" s="505"/>
      <c r="B277" s="505"/>
      <c r="C277" s="505"/>
      <c r="D277" s="505"/>
      <c r="E277" s="505"/>
      <c r="F277" s="505"/>
      <c r="G277" s="505"/>
      <c r="H277" s="505"/>
      <c r="I277" s="505"/>
      <c r="J277" s="505"/>
      <c r="K277" s="505"/>
      <c r="L277" s="505"/>
      <c r="M277" s="505"/>
      <c r="N277" s="505"/>
      <c r="O277" s="505"/>
      <c r="P277" s="505"/>
      <c r="Q277" s="505"/>
      <c r="R277" s="505"/>
      <c r="S277" s="505"/>
      <c r="T277" s="505"/>
      <c r="U277" s="505"/>
      <c r="V277" s="505"/>
      <c r="W277" s="505"/>
      <c r="X277" s="505"/>
      <c r="Y277" s="505"/>
      <c r="Z277" s="505"/>
      <c r="AA277" s="505"/>
      <c r="AB277" s="505"/>
      <c r="AC277" s="505"/>
      <c r="AD277" s="505"/>
      <c r="AE277" s="505"/>
      <c r="AF277" s="505"/>
      <c r="AG277" s="505"/>
      <c r="AH277" s="505"/>
      <c r="AI277" s="505"/>
      <c r="AJ277" s="505"/>
      <c r="AK277" s="505"/>
      <c r="AL277" s="505"/>
    </row>
    <row r="278" spans="1:38" ht="9.9499999999999993" customHeight="1">
      <c r="A278" s="505"/>
      <c r="B278" s="505"/>
      <c r="C278" s="505"/>
      <c r="D278" s="505"/>
      <c r="E278" s="505"/>
      <c r="F278" s="505"/>
      <c r="G278" s="505"/>
      <c r="H278" s="505"/>
      <c r="I278" s="505"/>
      <c r="J278" s="505"/>
      <c r="K278" s="505"/>
      <c r="L278" s="505"/>
      <c r="M278" s="505"/>
      <c r="N278" s="505"/>
      <c r="O278" s="505"/>
      <c r="P278" s="505"/>
      <c r="Q278" s="505"/>
      <c r="R278" s="505"/>
      <c r="S278" s="505"/>
      <c r="T278" s="505"/>
      <c r="U278" s="505"/>
      <c r="V278" s="505"/>
      <c r="W278" s="505"/>
      <c r="X278" s="505"/>
      <c r="Y278" s="505"/>
      <c r="Z278" s="505"/>
      <c r="AA278" s="505"/>
      <c r="AB278" s="505"/>
      <c r="AC278" s="505"/>
      <c r="AD278" s="505"/>
      <c r="AE278" s="505"/>
      <c r="AF278" s="505"/>
      <c r="AG278" s="505"/>
      <c r="AH278" s="505"/>
      <c r="AI278" s="505"/>
      <c r="AJ278" s="505"/>
      <c r="AK278" s="505"/>
      <c r="AL278" s="505"/>
    </row>
    <row r="279" spans="1:38" ht="9.9499999999999993" customHeight="1">
      <c r="A279" s="505"/>
      <c r="B279" s="505"/>
      <c r="C279" s="505"/>
      <c r="D279" s="505"/>
      <c r="E279" s="505"/>
      <c r="F279" s="505"/>
      <c r="G279" s="505"/>
      <c r="H279" s="505"/>
      <c r="I279" s="505"/>
      <c r="J279" s="505"/>
      <c r="K279" s="505"/>
      <c r="L279" s="505"/>
      <c r="M279" s="505"/>
      <c r="N279" s="505"/>
      <c r="O279" s="505"/>
      <c r="P279" s="505"/>
      <c r="Q279" s="505"/>
      <c r="R279" s="505"/>
      <c r="S279" s="505"/>
      <c r="T279" s="505"/>
      <c r="U279" s="505"/>
      <c r="V279" s="505"/>
      <c r="W279" s="505"/>
      <c r="X279" s="505"/>
      <c r="Y279" s="505"/>
      <c r="Z279" s="505"/>
      <c r="AA279" s="505"/>
      <c r="AB279" s="505"/>
      <c r="AC279" s="505"/>
      <c r="AD279" s="505"/>
      <c r="AE279" s="505"/>
      <c r="AF279" s="505"/>
      <c r="AG279" s="505"/>
      <c r="AH279" s="505"/>
      <c r="AI279" s="505"/>
      <c r="AJ279" s="505"/>
      <c r="AK279" s="505"/>
      <c r="AL279" s="505"/>
    </row>
    <row r="280" spans="1:38" ht="9.9499999999999993" customHeight="1">
      <c r="A280" s="505"/>
      <c r="B280" s="505"/>
      <c r="C280" s="505"/>
      <c r="D280" s="505"/>
      <c r="E280" s="505"/>
      <c r="F280" s="505"/>
      <c r="G280" s="505"/>
      <c r="H280" s="505"/>
      <c r="I280" s="505"/>
      <c r="J280" s="505"/>
      <c r="K280" s="505"/>
      <c r="L280" s="505"/>
      <c r="M280" s="505"/>
      <c r="N280" s="505"/>
      <c r="O280" s="505"/>
      <c r="P280" s="505"/>
      <c r="Q280" s="505"/>
      <c r="R280" s="505"/>
      <c r="S280" s="505"/>
      <c r="T280" s="505"/>
      <c r="U280" s="505"/>
      <c r="V280" s="505"/>
      <c r="W280" s="505"/>
      <c r="X280" s="505"/>
      <c r="Y280" s="505"/>
      <c r="Z280" s="505"/>
      <c r="AA280" s="505"/>
      <c r="AB280" s="505"/>
      <c r="AC280" s="505"/>
      <c r="AD280" s="505"/>
      <c r="AE280" s="505"/>
      <c r="AF280" s="505"/>
      <c r="AG280" s="505"/>
      <c r="AH280" s="505"/>
      <c r="AI280" s="505"/>
      <c r="AJ280" s="505"/>
      <c r="AK280" s="505"/>
      <c r="AL280" s="505"/>
    </row>
    <row r="281" spans="1:38" ht="9.9499999999999993" customHeight="1">
      <c r="A281" s="505"/>
      <c r="B281" s="505"/>
      <c r="C281" s="505"/>
      <c r="D281" s="505"/>
      <c r="E281" s="505"/>
      <c r="F281" s="505"/>
      <c r="G281" s="505"/>
      <c r="H281" s="505"/>
      <c r="I281" s="505"/>
      <c r="J281" s="505"/>
      <c r="K281" s="505"/>
      <c r="L281" s="505"/>
      <c r="M281" s="505"/>
      <c r="N281" s="505"/>
      <c r="O281" s="505"/>
      <c r="P281" s="505"/>
      <c r="Q281" s="505"/>
      <c r="R281" s="505"/>
      <c r="S281" s="505"/>
      <c r="T281" s="505"/>
      <c r="U281" s="505"/>
      <c r="V281" s="505"/>
      <c r="W281" s="505"/>
      <c r="X281" s="505"/>
      <c r="Y281" s="505"/>
      <c r="Z281" s="505"/>
      <c r="AA281" s="505"/>
      <c r="AB281" s="505"/>
      <c r="AC281" s="505"/>
      <c r="AD281" s="505"/>
      <c r="AE281" s="505"/>
      <c r="AF281" s="505"/>
      <c r="AG281" s="505"/>
      <c r="AH281" s="505"/>
      <c r="AI281" s="505"/>
      <c r="AJ281" s="505"/>
      <c r="AK281" s="505"/>
      <c r="AL281" s="505"/>
    </row>
    <row r="282" spans="1:38" ht="9.9499999999999993" customHeight="1">
      <c r="A282" s="505"/>
      <c r="B282" s="505"/>
      <c r="C282" s="505"/>
      <c r="D282" s="505"/>
      <c r="E282" s="505"/>
      <c r="F282" s="505"/>
      <c r="G282" s="505"/>
      <c r="H282" s="505"/>
      <c r="I282" s="505"/>
      <c r="J282" s="505"/>
      <c r="K282" s="505"/>
      <c r="L282" s="505"/>
      <c r="M282" s="505"/>
      <c r="N282" s="505"/>
      <c r="O282" s="505"/>
      <c r="P282" s="505"/>
      <c r="Q282" s="505"/>
      <c r="R282" s="505"/>
      <c r="S282" s="505"/>
      <c r="T282" s="505"/>
      <c r="U282" s="505"/>
      <c r="V282" s="505"/>
      <c r="W282" s="505"/>
      <c r="X282" s="505"/>
      <c r="Y282" s="505"/>
      <c r="Z282" s="505"/>
      <c r="AA282" s="505"/>
      <c r="AB282" s="505"/>
      <c r="AC282" s="505"/>
      <c r="AD282" s="505"/>
      <c r="AE282" s="505"/>
      <c r="AF282" s="505"/>
      <c r="AG282" s="505"/>
      <c r="AH282" s="505"/>
      <c r="AI282" s="505"/>
      <c r="AJ282" s="505"/>
      <c r="AK282" s="505"/>
      <c r="AL282" s="505"/>
    </row>
    <row r="283" spans="1:38" ht="9.9499999999999993" customHeight="1">
      <c r="A283" s="505"/>
      <c r="B283" s="505"/>
      <c r="C283" s="505"/>
      <c r="D283" s="505"/>
      <c r="E283" s="505"/>
      <c r="F283" s="505"/>
      <c r="G283" s="505"/>
      <c r="H283" s="505"/>
      <c r="I283" s="505"/>
      <c r="J283" s="505"/>
      <c r="K283" s="505"/>
      <c r="L283" s="505"/>
      <c r="M283" s="505"/>
      <c r="N283" s="505"/>
      <c r="O283" s="505"/>
      <c r="P283" s="505"/>
      <c r="Q283" s="505"/>
      <c r="R283" s="505"/>
      <c r="S283" s="505"/>
      <c r="T283" s="505"/>
      <c r="U283" s="505"/>
      <c r="V283" s="505"/>
      <c r="W283" s="505"/>
      <c r="X283" s="505"/>
      <c r="Y283" s="505"/>
      <c r="Z283" s="505"/>
      <c r="AA283" s="505"/>
      <c r="AB283" s="505"/>
      <c r="AC283" s="505"/>
      <c r="AD283" s="505"/>
      <c r="AE283" s="505"/>
      <c r="AF283" s="505"/>
      <c r="AG283" s="505"/>
      <c r="AH283" s="505"/>
      <c r="AI283" s="505"/>
      <c r="AJ283" s="505"/>
      <c r="AK283" s="505"/>
      <c r="AL283" s="505"/>
    </row>
    <row r="284" spans="1:38" ht="9.9499999999999993" customHeight="1">
      <c r="A284" s="505"/>
      <c r="B284" s="505"/>
      <c r="C284" s="505"/>
      <c r="D284" s="505"/>
      <c r="E284" s="505"/>
      <c r="F284" s="505"/>
      <c r="G284" s="505"/>
      <c r="H284" s="505"/>
      <c r="I284" s="505"/>
      <c r="J284" s="505"/>
      <c r="K284" s="505"/>
      <c r="L284" s="505"/>
      <c r="M284" s="505"/>
      <c r="N284" s="505"/>
      <c r="O284" s="505"/>
      <c r="P284" s="505"/>
      <c r="Q284" s="505"/>
      <c r="R284" s="505"/>
      <c r="S284" s="505"/>
      <c r="T284" s="505"/>
      <c r="U284" s="505"/>
      <c r="V284" s="505"/>
      <c r="W284" s="505"/>
      <c r="X284" s="505"/>
      <c r="Y284" s="505"/>
      <c r="Z284" s="505"/>
      <c r="AA284" s="505"/>
      <c r="AB284" s="505"/>
      <c r="AC284" s="505"/>
      <c r="AD284" s="505"/>
      <c r="AE284" s="505"/>
      <c r="AF284" s="505"/>
      <c r="AG284" s="505"/>
      <c r="AH284" s="505"/>
      <c r="AI284" s="505"/>
      <c r="AJ284" s="505"/>
      <c r="AK284" s="505"/>
      <c r="AL284" s="505"/>
    </row>
    <row r="285" spans="1:38" ht="9.9499999999999993" customHeight="1">
      <c r="A285" s="505"/>
      <c r="B285" s="505"/>
      <c r="C285" s="505"/>
      <c r="D285" s="505"/>
      <c r="E285" s="505"/>
      <c r="F285" s="505"/>
      <c r="G285" s="505"/>
      <c r="H285" s="505"/>
      <c r="I285" s="505"/>
      <c r="J285" s="505"/>
      <c r="K285" s="505"/>
      <c r="L285" s="505"/>
      <c r="M285" s="505"/>
      <c r="N285" s="505"/>
      <c r="O285" s="505"/>
      <c r="P285" s="505"/>
      <c r="Q285" s="505"/>
      <c r="R285" s="505"/>
      <c r="S285" s="505"/>
      <c r="T285" s="505"/>
      <c r="U285" s="505"/>
      <c r="V285" s="505"/>
      <c r="W285" s="505"/>
      <c r="X285" s="505"/>
      <c r="Y285" s="505"/>
      <c r="Z285" s="505"/>
      <c r="AA285" s="505"/>
      <c r="AB285" s="505"/>
      <c r="AC285" s="505"/>
      <c r="AD285" s="505"/>
      <c r="AE285" s="505"/>
      <c r="AF285" s="505"/>
      <c r="AG285" s="505"/>
      <c r="AH285" s="505"/>
      <c r="AI285" s="505"/>
      <c r="AJ285" s="505"/>
      <c r="AK285" s="505"/>
      <c r="AL285" s="505"/>
    </row>
    <row r="286" spans="1:38" ht="9.9499999999999993" customHeight="1">
      <c r="A286" s="505"/>
      <c r="B286" s="505"/>
      <c r="C286" s="505"/>
      <c r="D286" s="505"/>
      <c r="E286" s="505"/>
      <c r="F286" s="505"/>
      <c r="G286" s="505"/>
      <c r="H286" s="505"/>
      <c r="I286" s="505"/>
      <c r="J286" s="505"/>
      <c r="K286" s="505"/>
      <c r="L286" s="505"/>
      <c r="M286" s="505"/>
      <c r="N286" s="505"/>
      <c r="O286" s="505"/>
      <c r="P286" s="505"/>
      <c r="Q286" s="505"/>
      <c r="R286" s="505"/>
      <c r="S286" s="505"/>
      <c r="T286" s="505"/>
      <c r="U286" s="505"/>
      <c r="V286" s="505"/>
      <c r="W286" s="505"/>
      <c r="X286" s="505"/>
      <c r="Y286" s="505"/>
      <c r="Z286" s="505"/>
      <c r="AA286" s="505"/>
      <c r="AB286" s="505"/>
      <c r="AC286" s="505"/>
      <c r="AD286" s="505"/>
      <c r="AE286" s="505"/>
      <c r="AF286" s="505"/>
      <c r="AG286" s="505"/>
      <c r="AH286" s="505"/>
      <c r="AI286" s="505"/>
      <c r="AJ286" s="505"/>
      <c r="AK286" s="505"/>
      <c r="AL286" s="505"/>
    </row>
    <row r="287" spans="1:38" ht="9.9499999999999993" customHeight="1">
      <c r="A287" s="505"/>
      <c r="B287" s="505"/>
      <c r="C287" s="505"/>
      <c r="D287" s="505"/>
      <c r="E287" s="505"/>
      <c r="F287" s="505"/>
      <c r="G287" s="505"/>
      <c r="H287" s="505"/>
      <c r="I287" s="505"/>
      <c r="J287" s="505"/>
      <c r="K287" s="505"/>
      <c r="L287" s="505"/>
      <c r="M287" s="505"/>
      <c r="N287" s="505"/>
      <c r="O287" s="505"/>
      <c r="P287" s="505"/>
      <c r="Q287" s="505"/>
      <c r="R287" s="505"/>
      <c r="S287" s="505"/>
      <c r="T287" s="505"/>
      <c r="U287" s="505"/>
      <c r="V287" s="505"/>
      <c r="W287" s="505"/>
      <c r="X287" s="505"/>
      <c r="Y287" s="505"/>
      <c r="Z287" s="505"/>
      <c r="AA287" s="505"/>
      <c r="AB287" s="505"/>
      <c r="AC287" s="505"/>
      <c r="AD287" s="505"/>
      <c r="AE287" s="505"/>
      <c r="AF287" s="505"/>
      <c r="AG287" s="505"/>
      <c r="AH287" s="505"/>
      <c r="AI287" s="505"/>
      <c r="AJ287" s="505"/>
      <c r="AK287" s="505"/>
      <c r="AL287" s="505"/>
    </row>
    <row r="288" spans="1:38" ht="9.9499999999999993" customHeight="1">
      <c r="A288" s="505"/>
      <c r="B288" s="505"/>
      <c r="C288" s="505"/>
      <c r="D288" s="505"/>
      <c r="E288" s="505"/>
      <c r="F288" s="505"/>
      <c r="G288" s="505"/>
      <c r="H288" s="505"/>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row>
    <row r="289" spans="1:38" ht="9.9499999999999993" customHeight="1">
      <c r="A289" s="505"/>
      <c r="B289" s="505"/>
      <c r="C289" s="505"/>
      <c r="D289" s="505"/>
      <c r="E289" s="505"/>
      <c r="F289" s="505"/>
      <c r="G289" s="505"/>
      <c r="H289" s="505"/>
      <c r="I289" s="505"/>
      <c r="J289" s="505"/>
      <c r="K289" s="505"/>
      <c r="L289" s="505"/>
      <c r="M289" s="505"/>
      <c r="N289" s="505"/>
      <c r="O289" s="505"/>
      <c r="P289" s="505"/>
      <c r="Q289" s="505"/>
      <c r="R289" s="505"/>
      <c r="S289" s="505"/>
      <c r="T289" s="505"/>
      <c r="U289" s="505"/>
      <c r="V289" s="505"/>
      <c r="W289" s="505"/>
      <c r="X289" s="505"/>
      <c r="Y289" s="505"/>
      <c r="Z289" s="505"/>
      <c r="AA289" s="505"/>
      <c r="AB289" s="505"/>
      <c r="AC289" s="505"/>
      <c r="AD289" s="505"/>
      <c r="AE289" s="505"/>
      <c r="AF289" s="505"/>
      <c r="AG289" s="505"/>
      <c r="AH289" s="505"/>
      <c r="AI289" s="505"/>
      <c r="AJ289" s="505"/>
      <c r="AK289" s="505"/>
      <c r="AL289" s="505"/>
    </row>
    <row r="290" spans="1:38" ht="9.9499999999999993" customHeight="1">
      <c r="A290" s="505"/>
      <c r="B290" s="505"/>
      <c r="C290" s="505"/>
      <c r="D290" s="505"/>
      <c r="E290" s="505"/>
      <c r="F290" s="505"/>
      <c r="G290" s="505"/>
      <c r="H290" s="505"/>
      <c r="I290" s="505"/>
      <c r="J290" s="505"/>
      <c r="K290" s="505"/>
      <c r="L290" s="505"/>
      <c r="M290" s="505"/>
      <c r="N290" s="505"/>
      <c r="O290" s="505"/>
      <c r="P290" s="505"/>
      <c r="Q290" s="505"/>
      <c r="R290" s="505"/>
      <c r="S290" s="505"/>
      <c r="T290" s="505"/>
      <c r="U290" s="505"/>
      <c r="V290" s="505"/>
      <c r="W290" s="505"/>
      <c r="X290" s="505"/>
      <c r="Y290" s="505"/>
      <c r="Z290" s="505"/>
      <c r="AA290" s="505"/>
      <c r="AB290" s="505"/>
      <c r="AC290" s="505"/>
      <c r="AD290" s="505"/>
      <c r="AE290" s="505"/>
      <c r="AF290" s="505"/>
      <c r="AG290" s="505"/>
      <c r="AH290" s="505"/>
      <c r="AI290" s="505"/>
      <c r="AJ290" s="505"/>
      <c r="AK290" s="505"/>
      <c r="AL290" s="505"/>
    </row>
    <row r="291" spans="1:38" ht="9.9499999999999993" customHeight="1">
      <c r="A291" s="505"/>
      <c r="B291" s="505"/>
      <c r="C291" s="505"/>
      <c r="D291" s="505"/>
      <c r="E291" s="505"/>
      <c r="F291" s="505"/>
      <c r="G291" s="505"/>
      <c r="H291" s="505"/>
      <c r="I291" s="505"/>
      <c r="J291" s="505"/>
      <c r="K291" s="505"/>
      <c r="L291" s="505"/>
      <c r="M291" s="505"/>
      <c r="N291" s="505"/>
      <c r="O291" s="505"/>
      <c r="P291" s="505"/>
      <c r="Q291" s="505"/>
      <c r="R291" s="505"/>
      <c r="S291" s="505"/>
      <c r="T291" s="505"/>
      <c r="U291" s="505"/>
      <c r="V291" s="505"/>
      <c r="W291" s="505"/>
      <c r="X291" s="505"/>
      <c r="Y291" s="505"/>
      <c r="Z291" s="505"/>
      <c r="AA291" s="505"/>
      <c r="AB291" s="505"/>
      <c r="AC291" s="505"/>
      <c r="AD291" s="505"/>
      <c r="AE291" s="505"/>
      <c r="AF291" s="505"/>
      <c r="AG291" s="505"/>
      <c r="AH291" s="505"/>
      <c r="AI291" s="505"/>
      <c r="AJ291" s="505"/>
      <c r="AK291" s="505"/>
      <c r="AL291" s="505"/>
    </row>
    <row r="292" spans="1:38" ht="9.9499999999999993" customHeight="1">
      <c r="A292" s="505"/>
      <c r="B292" s="505"/>
      <c r="C292" s="505"/>
      <c r="D292" s="505"/>
      <c r="E292" s="505"/>
      <c r="F292" s="505"/>
      <c r="G292" s="505"/>
      <c r="H292" s="505"/>
      <c r="I292" s="505"/>
      <c r="J292" s="505"/>
      <c r="K292" s="505"/>
      <c r="L292" s="505"/>
      <c r="M292" s="505"/>
      <c r="N292" s="505"/>
      <c r="O292" s="505"/>
      <c r="P292" s="505"/>
      <c r="Q292" s="505"/>
      <c r="R292" s="505"/>
      <c r="S292" s="505"/>
      <c r="T292" s="505"/>
      <c r="U292" s="505"/>
      <c r="V292" s="505"/>
      <c r="W292" s="505"/>
      <c r="X292" s="505"/>
      <c r="Y292" s="505"/>
      <c r="Z292" s="505"/>
      <c r="AA292" s="505"/>
      <c r="AB292" s="505"/>
      <c r="AC292" s="505"/>
      <c r="AD292" s="505"/>
      <c r="AE292" s="505"/>
      <c r="AF292" s="505"/>
      <c r="AG292" s="505"/>
      <c r="AH292" s="505"/>
      <c r="AI292" s="505"/>
      <c r="AJ292" s="505"/>
      <c r="AK292" s="505"/>
      <c r="AL292" s="505"/>
    </row>
    <row r="293" spans="1:38" ht="9.9499999999999993" customHeight="1">
      <c r="A293" s="505"/>
      <c r="B293" s="505"/>
      <c r="C293" s="505"/>
      <c r="D293" s="505"/>
      <c r="E293" s="505"/>
      <c r="F293" s="505"/>
      <c r="G293" s="505"/>
      <c r="H293" s="505"/>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row>
    <row r="294" spans="1:38" ht="9.9499999999999993" customHeight="1">
      <c r="A294" s="505"/>
      <c r="B294" s="505"/>
      <c r="C294" s="505"/>
      <c r="D294" s="505"/>
      <c r="E294" s="505"/>
      <c r="F294" s="505"/>
      <c r="G294" s="505"/>
      <c r="H294" s="505"/>
      <c r="I294" s="505"/>
      <c r="J294" s="505"/>
      <c r="K294" s="505"/>
      <c r="L294" s="505"/>
      <c r="M294" s="505"/>
      <c r="N294" s="505"/>
      <c r="O294" s="505"/>
      <c r="P294" s="505"/>
      <c r="Q294" s="505"/>
      <c r="R294" s="505"/>
      <c r="S294" s="505"/>
      <c r="T294" s="505"/>
      <c r="U294" s="505"/>
      <c r="V294" s="505"/>
      <c r="W294" s="505"/>
      <c r="X294" s="505"/>
      <c r="Y294" s="505"/>
      <c r="Z294" s="505"/>
      <c r="AA294" s="505"/>
      <c r="AB294" s="505"/>
      <c r="AC294" s="505"/>
      <c r="AD294" s="505"/>
      <c r="AE294" s="505"/>
      <c r="AF294" s="505"/>
      <c r="AG294" s="505"/>
      <c r="AH294" s="505"/>
      <c r="AI294" s="505"/>
      <c r="AJ294" s="505"/>
      <c r="AK294" s="505"/>
      <c r="AL294" s="505"/>
    </row>
    <row r="295" spans="1:38" ht="9.9499999999999993" customHeight="1">
      <c r="A295" s="505"/>
      <c r="B295" s="505"/>
      <c r="C295" s="505"/>
      <c r="D295" s="505"/>
      <c r="E295" s="505"/>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505"/>
      <c r="AE295" s="505"/>
      <c r="AF295" s="505"/>
      <c r="AG295" s="505"/>
      <c r="AH295" s="505"/>
      <c r="AI295" s="505"/>
      <c r="AJ295" s="505"/>
      <c r="AK295" s="505"/>
      <c r="AL295" s="505"/>
    </row>
    <row r="296" spans="1:38" ht="9.9499999999999993" customHeight="1">
      <c r="A296" s="505"/>
      <c r="B296" s="505"/>
      <c r="C296" s="505"/>
      <c r="D296" s="505"/>
      <c r="E296" s="505"/>
      <c r="F296" s="505"/>
      <c r="G296" s="505"/>
      <c r="H296" s="505"/>
      <c r="I296" s="505"/>
      <c r="J296" s="505"/>
      <c r="K296" s="505"/>
      <c r="L296" s="505"/>
      <c r="M296" s="505"/>
      <c r="N296" s="505"/>
      <c r="O296" s="505"/>
      <c r="P296" s="505"/>
      <c r="Q296" s="505"/>
      <c r="R296" s="505"/>
      <c r="S296" s="505"/>
      <c r="T296" s="505"/>
      <c r="U296" s="505"/>
      <c r="V296" s="505"/>
      <c r="W296" s="505"/>
      <c r="X296" s="505"/>
      <c r="Y296" s="505"/>
      <c r="Z296" s="505"/>
      <c r="AA296" s="505"/>
      <c r="AB296" s="505"/>
      <c r="AC296" s="505"/>
      <c r="AD296" s="505"/>
      <c r="AE296" s="505"/>
      <c r="AF296" s="505"/>
      <c r="AG296" s="505"/>
      <c r="AH296" s="505"/>
      <c r="AI296" s="505"/>
      <c r="AJ296" s="505"/>
      <c r="AK296" s="505"/>
      <c r="AL296" s="505"/>
    </row>
    <row r="297" spans="1:38" ht="9.9499999999999993" customHeight="1">
      <c r="A297" s="505"/>
      <c r="B297" s="505"/>
      <c r="C297" s="505"/>
      <c r="D297" s="505"/>
      <c r="E297" s="505"/>
      <c r="F297" s="505"/>
      <c r="G297" s="505"/>
      <c r="H297" s="505"/>
      <c r="I297" s="505"/>
      <c r="J297" s="505"/>
      <c r="K297" s="505"/>
      <c r="L297" s="505"/>
      <c r="M297" s="505"/>
      <c r="N297" s="505"/>
      <c r="O297" s="505"/>
      <c r="P297" s="505"/>
      <c r="Q297" s="505"/>
      <c r="R297" s="505"/>
      <c r="S297" s="505"/>
      <c r="T297" s="505"/>
      <c r="U297" s="505"/>
      <c r="V297" s="505"/>
      <c r="W297" s="505"/>
      <c r="X297" s="505"/>
      <c r="Y297" s="505"/>
      <c r="Z297" s="505"/>
      <c r="AA297" s="505"/>
      <c r="AB297" s="505"/>
      <c r="AC297" s="505"/>
      <c r="AD297" s="505"/>
      <c r="AE297" s="505"/>
      <c r="AF297" s="505"/>
      <c r="AG297" s="505"/>
      <c r="AH297" s="505"/>
      <c r="AI297" s="505"/>
      <c r="AJ297" s="505"/>
      <c r="AK297" s="505"/>
      <c r="AL297" s="505"/>
    </row>
    <row r="298" spans="1:38" ht="9.9499999999999993" customHeight="1">
      <c r="A298" s="505"/>
      <c r="B298" s="505"/>
      <c r="C298" s="505"/>
      <c r="D298" s="505"/>
      <c r="E298" s="505"/>
      <c r="F298" s="505"/>
      <c r="G298" s="505"/>
      <c r="H298" s="505"/>
      <c r="I298" s="505"/>
      <c r="J298" s="505"/>
      <c r="K298" s="505"/>
      <c r="L298" s="505"/>
      <c r="M298" s="505"/>
      <c r="N298" s="505"/>
      <c r="O298" s="505"/>
      <c r="P298" s="505"/>
      <c r="Q298" s="505"/>
      <c r="R298" s="505"/>
      <c r="S298" s="505"/>
      <c r="T298" s="505"/>
      <c r="U298" s="505"/>
      <c r="V298" s="505"/>
      <c r="W298" s="505"/>
      <c r="X298" s="505"/>
      <c r="Y298" s="505"/>
      <c r="Z298" s="505"/>
      <c r="AA298" s="505"/>
      <c r="AB298" s="505"/>
      <c r="AC298" s="505"/>
      <c r="AD298" s="505"/>
      <c r="AE298" s="505"/>
      <c r="AF298" s="505"/>
      <c r="AG298" s="505"/>
      <c r="AH298" s="505"/>
      <c r="AI298" s="505"/>
      <c r="AJ298" s="505"/>
      <c r="AK298" s="505"/>
      <c r="AL298" s="505"/>
    </row>
    <row r="299" spans="1:38" ht="9.9499999999999993" customHeight="1">
      <c r="A299" s="505"/>
      <c r="B299" s="505"/>
      <c r="C299" s="505"/>
      <c r="D299" s="505"/>
      <c r="E299" s="505"/>
      <c r="F299" s="505"/>
      <c r="G299" s="505"/>
      <c r="H299" s="505"/>
      <c r="I299" s="505"/>
      <c r="J299" s="505"/>
      <c r="K299" s="505"/>
      <c r="L299" s="505"/>
      <c r="M299" s="505"/>
      <c r="N299" s="505"/>
      <c r="O299" s="505"/>
      <c r="P299" s="505"/>
      <c r="Q299" s="505"/>
      <c r="R299" s="505"/>
      <c r="S299" s="505"/>
      <c r="T299" s="505"/>
      <c r="U299" s="505"/>
      <c r="V299" s="505"/>
      <c r="W299" s="505"/>
      <c r="X299" s="505"/>
      <c r="Y299" s="505"/>
      <c r="Z299" s="505"/>
      <c r="AA299" s="505"/>
      <c r="AB299" s="505"/>
      <c r="AC299" s="505"/>
      <c r="AD299" s="505"/>
      <c r="AE299" s="505"/>
      <c r="AF299" s="505"/>
      <c r="AG299" s="505"/>
      <c r="AH299" s="505"/>
      <c r="AI299" s="505"/>
      <c r="AJ299" s="505"/>
      <c r="AK299" s="505"/>
      <c r="AL299" s="505"/>
    </row>
    <row r="300" spans="1:38" ht="9.9499999999999993" customHeight="1">
      <c r="A300" s="505"/>
      <c r="B300" s="505"/>
      <c r="C300" s="505"/>
      <c r="D300" s="505"/>
      <c r="E300" s="505"/>
      <c r="F300" s="505"/>
      <c r="G300" s="505"/>
      <c r="H300" s="505"/>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row>
    <row r="301" spans="1:38" ht="9.9499999999999993" customHeight="1">
      <c r="A301" s="505"/>
      <c r="B301" s="505"/>
      <c r="C301" s="505"/>
      <c r="D301" s="505"/>
      <c r="E301" s="505"/>
      <c r="F301" s="505"/>
      <c r="G301" s="505"/>
      <c r="H301" s="505"/>
      <c r="I301" s="505"/>
      <c r="J301" s="505"/>
      <c r="K301" s="505"/>
      <c r="L301" s="505"/>
      <c r="M301" s="505"/>
      <c r="N301" s="505"/>
      <c r="O301" s="505"/>
      <c r="P301" s="505"/>
      <c r="Q301" s="505"/>
      <c r="R301" s="505"/>
      <c r="S301" s="505"/>
      <c r="T301" s="505"/>
      <c r="U301" s="505"/>
      <c r="V301" s="505"/>
      <c r="W301" s="505"/>
      <c r="X301" s="505"/>
      <c r="Y301" s="505"/>
      <c r="Z301" s="505"/>
      <c r="AA301" s="505"/>
      <c r="AB301" s="505"/>
      <c r="AC301" s="505"/>
      <c r="AD301" s="505"/>
      <c r="AE301" s="505"/>
      <c r="AF301" s="505"/>
      <c r="AG301" s="505"/>
      <c r="AH301" s="505"/>
      <c r="AI301" s="505"/>
      <c r="AJ301" s="505"/>
      <c r="AK301" s="505"/>
      <c r="AL301" s="505"/>
    </row>
    <row r="302" spans="1:38" ht="9.9499999999999993" customHeight="1">
      <c r="A302" s="505"/>
      <c r="B302" s="505"/>
      <c r="C302" s="505"/>
      <c r="D302" s="505"/>
      <c r="E302" s="505"/>
      <c r="F302" s="505"/>
      <c r="G302" s="505"/>
      <c r="H302" s="505"/>
      <c r="I302" s="505"/>
      <c r="J302" s="505"/>
      <c r="K302" s="505"/>
      <c r="L302" s="505"/>
      <c r="M302" s="505"/>
      <c r="N302" s="505"/>
      <c r="O302" s="505"/>
      <c r="P302" s="505"/>
      <c r="Q302" s="505"/>
      <c r="R302" s="505"/>
      <c r="S302" s="505"/>
      <c r="T302" s="505"/>
      <c r="U302" s="505"/>
      <c r="V302" s="505"/>
      <c r="W302" s="505"/>
      <c r="X302" s="505"/>
      <c r="Y302" s="505"/>
      <c r="Z302" s="505"/>
      <c r="AA302" s="505"/>
      <c r="AB302" s="505"/>
      <c r="AC302" s="505"/>
      <c r="AD302" s="505"/>
      <c r="AE302" s="505"/>
      <c r="AF302" s="505"/>
      <c r="AG302" s="505"/>
      <c r="AH302" s="505"/>
      <c r="AI302" s="505"/>
      <c r="AJ302" s="505"/>
      <c r="AK302" s="505"/>
      <c r="AL302" s="505"/>
    </row>
    <row r="303" spans="1:38" ht="9.9499999999999993" customHeight="1">
      <c r="A303" s="505"/>
      <c r="B303" s="505"/>
      <c r="C303" s="505"/>
      <c r="D303" s="505"/>
      <c r="E303" s="505"/>
      <c r="F303" s="505"/>
      <c r="G303" s="505"/>
      <c r="H303" s="505"/>
      <c r="I303" s="505"/>
      <c r="J303" s="505"/>
      <c r="K303" s="505"/>
      <c r="L303" s="505"/>
      <c r="M303" s="505"/>
      <c r="N303" s="505"/>
      <c r="O303" s="505"/>
      <c r="P303" s="505"/>
      <c r="Q303" s="505"/>
      <c r="R303" s="505"/>
      <c r="S303" s="505"/>
      <c r="T303" s="505"/>
      <c r="U303" s="505"/>
      <c r="V303" s="505"/>
      <c r="W303" s="505"/>
      <c r="X303" s="505"/>
      <c r="Y303" s="505"/>
      <c r="Z303" s="505"/>
      <c r="AA303" s="505"/>
      <c r="AB303" s="505"/>
      <c r="AC303" s="505"/>
      <c r="AD303" s="505"/>
      <c r="AE303" s="505"/>
      <c r="AF303" s="505"/>
      <c r="AG303" s="505"/>
      <c r="AH303" s="505"/>
      <c r="AI303" s="505"/>
      <c r="AJ303" s="505"/>
      <c r="AK303" s="505"/>
      <c r="AL303" s="505"/>
    </row>
    <row r="304" spans="1:38" ht="9.9499999999999993" customHeight="1">
      <c r="A304" s="505"/>
      <c r="B304" s="505"/>
      <c r="C304" s="505"/>
      <c r="D304" s="505"/>
      <c r="E304" s="505"/>
      <c r="F304" s="505"/>
      <c r="G304" s="505"/>
      <c r="H304" s="505"/>
      <c r="I304" s="505"/>
      <c r="J304" s="505"/>
      <c r="K304" s="505"/>
      <c r="L304" s="505"/>
      <c r="M304" s="505"/>
      <c r="N304" s="505"/>
      <c r="O304" s="505"/>
      <c r="P304" s="505"/>
      <c r="Q304" s="505"/>
      <c r="R304" s="505"/>
      <c r="S304" s="505"/>
      <c r="T304" s="505"/>
      <c r="U304" s="505"/>
      <c r="V304" s="505"/>
      <c r="W304" s="505"/>
      <c r="X304" s="505"/>
      <c r="Y304" s="505"/>
      <c r="Z304" s="505"/>
      <c r="AA304" s="505"/>
      <c r="AB304" s="505"/>
      <c r="AC304" s="505"/>
      <c r="AD304" s="505"/>
      <c r="AE304" s="505"/>
      <c r="AF304" s="505"/>
      <c r="AG304" s="505"/>
      <c r="AH304" s="505"/>
      <c r="AI304" s="505"/>
      <c r="AJ304" s="505"/>
      <c r="AK304" s="505"/>
      <c r="AL304" s="505"/>
    </row>
    <row r="305" spans="1:38" ht="9.9499999999999993" customHeight="1">
      <c r="A305" s="505"/>
      <c r="B305" s="505"/>
      <c r="C305" s="505"/>
      <c r="D305" s="505"/>
      <c r="E305" s="505"/>
      <c r="F305" s="505"/>
      <c r="G305" s="505"/>
      <c r="H305" s="505"/>
      <c r="I305" s="505"/>
      <c r="J305" s="505"/>
      <c r="K305" s="505"/>
      <c r="L305" s="505"/>
      <c r="M305" s="505"/>
      <c r="N305" s="505"/>
      <c r="O305" s="505"/>
      <c r="P305" s="505"/>
      <c r="Q305" s="505"/>
      <c r="R305" s="505"/>
      <c r="S305" s="505"/>
      <c r="T305" s="505"/>
      <c r="U305" s="505"/>
      <c r="V305" s="505"/>
      <c r="W305" s="505"/>
      <c r="X305" s="505"/>
      <c r="Y305" s="505"/>
      <c r="Z305" s="505"/>
      <c r="AA305" s="505"/>
      <c r="AB305" s="505"/>
      <c r="AC305" s="505"/>
      <c r="AD305" s="505"/>
      <c r="AE305" s="505"/>
      <c r="AF305" s="505"/>
      <c r="AG305" s="505"/>
      <c r="AH305" s="505"/>
      <c r="AI305" s="505"/>
      <c r="AJ305" s="505"/>
      <c r="AK305" s="505"/>
      <c r="AL305" s="505"/>
    </row>
    <row r="306" spans="1:38" ht="9.9499999999999993" customHeight="1">
      <c r="A306" s="505"/>
      <c r="B306" s="505"/>
      <c r="C306" s="505"/>
      <c r="D306" s="505"/>
      <c r="E306" s="505"/>
      <c r="F306" s="505"/>
      <c r="G306" s="505"/>
      <c r="H306" s="505"/>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row>
    <row r="307" spans="1:38" ht="9.9499999999999993" customHeight="1">
      <c r="A307" s="505"/>
      <c r="B307" s="505"/>
      <c r="C307" s="505"/>
      <c r="D307" s="505"/>
      <c r="E307" s="505"/>
      <c r="F307" s="505"/>
      <c r="G307" s="505"/>
      <c r="H307" s="505"/>
      <c r="I307" s="505"/>
      <c r="J307" s="505"/>
      <c r="K307" s="505"/>
      <c r="L307" s="505"/>
      <c r="M307" s="505"/>
      <c r="N307" s="505"/>
      <c r="O307" s="505"/>
      <c r="P307" s="505"/>
      <c r="Q307" s="505"/>
      <c r="R307" s="505"/>
      <c r="S307" s="505"/>
      <c r="T307" s="505"/>
      <c r="U307" s="505"/>
      <c r="V307" s="505"/>
      <c r="W307" s="505"/>
      <c r="X307" s="505"/>
      <c r="Y307" s="505"/>
      <c r="Z307" s="505"/>
      <c r="AA307" s="505"/>
      <c r="AB307" s="505"/>
      <c r="AC307" s="505"/>
      <c r="AD307" s="505"/>
      <c r="AE307" s="505"/>
      <c r="AF307" s="505"/>
      <c r="AG307" s="505"/>
      <c r="AH307" s="505"/>
      <c r="AI307" s="505"/>
      <c r="AJ307" s="505"/>
      <c r="AK307" s="505"/>
      <c r="AL307" s="505"/>
    </row>
    <row r="308" spans="1:38" ht="9.9499999999999993" customHeight="1">
      <c r="A308" s="505"/>
      <c r="B308" s="505"/>
      <c r="C308" s="505"/>
      <c r="D308" s="505"/>
      <c r="E308" s="505"/>
      <c r="F308" s="505"/>
      <c r="G308" s="505"/>
      <c r="H308" s="505"/>
      <c r="I308" s="505"/>
      <c r="J308" s="505"/>
      <c r="K308" s="505"/>
      <c r="L308" s="505"/>
      <c r="M308" s="505"/>
      <c r="N308" s="505"/>
      <c r="O308" s="505"/>
      <c r="P308" s="505"/>
      <c r="Q308" s="505"/>
      <c r="R308" s="505"/>
      <c r="S308" s="505"/>
      <c r="T308" s="505"/>
      <c r="U308" s="505"/>
      <c r="V308" s="505"/>
      <c r="W308" s="505"/>
      <c r="X308" s="505"/>
      <c r="Y308" s="505"/>
      <c r="Z308" s="505"/>
      <c r="AA308" s="505"/>
      <c r="AB308" s="505"/>
      <c r="AC308" s="505"/>
      <c r="AD308" s="505"/>
      <c r="AE308" s="505"/>
      <c r="AF308" s="505"/>
      <c r="AG308" s="505"/>
      <c r="AH308" s="505"/>
      <c r="AI308" s="505"/>
      <c r="AJ308" s="505"/>
      <c r="AK308" s="505"/>
      <c r="AL308" s="505"/>
    </row>
    <row r="309" spans="1:38" ht="9.9499999999999993" customHeight="1">
      <c r="A309" s="505"/>
      <c r="B309" s="505"/>
      <c r="C309" s="505"/>
      <c r="D309" s="505"/>
      <c r="E309" s="505"/>
      <c r="F309" s="505"/>
      <c r="G309" s="505"/>
      <c r="H309" s="505"/>
      <c r="I309" s="505"/>
      <c r="J309" s="505"/>
      <c r="K309" s="505"/>
      <c r="L309" s="505"/>
      <c r="M309" s="505"/>
      <c r="N309" s="505"/>
      <c r="O309" s="505"/>
      <c r="P309" s="505"/>
      <c r="Q309" s="505"/>
      <c r="R309" s="505"/>
      <c r="S309" s="505"/>
      <c r="T309" s="505"/>
      <c r="U309" s="505"/>
      <c r="V309" s="505"/>
      <c r="W309" s="505"/>
      <c r="X309" s="505"/>
      <c r="Y309" s="505"/>
      <c r="Z309" s="505"/>
      <c r="AA309" s="505"/>
      <c r="AB309" s="505"/>
      <c r="AC309" s="505"/>
      <c r="AD309" s="505"/>
      <c r="AE309" s="505"/>
      <c r="AF309" s="505"/>
      <c r="AG309" s="505"/>
      <c r="AH309" s="505"/>
      <c r="AI309" s="505"/>
      <c r="AJ309" s="505"/>
      <c r="AK309" s="505"/>
      <c r="AL309" s="505"/>
    </row>
    <row r="310" spans="1:38" ht="9.9499999999999993" customHeight="1">
      <c r="A310" s="505"/>
      <c r="B310" s="505"/>
      <c r="C310" s="505"/>
      <c r="D310" s="505"/>
      <c r="E310" s="505"/>
      <c r="F310" s="505"/>
      <c r="G310" s="505"/>
      <c r="H310" s="505"/>
      <c r="I310" s="505"/>
      <c r="J310" s="505"/>
      <c r="K310" s="505"/>
      <c r="L310" s="505"/>
      <c r="M310" s="505"/>
      <c r="N310" s="505"/>
      <c r="O310" s="505"/>
      <c r="P310" s="505"/>
      <c r="Q310" s="505"/>
      <c r="R310" s="505"/>
      <c r="S310" s="505"/>
      <c r="T310" s="505"/>
      <c r="U310" s="505"/>
      <c r="V310" s="505"/>
      <c r="W310" s="505"/>
      <c r="X310" s="505"/>
      <c r="Y310" s="505"/>
      <c r="Z310" s="505"/>
      <c r="AA310" s="505"/>
      <c r="AB310" s="505"/>
      <c r="AC310" s="505"/>
      <c r="AD310" s="505"/>
      <c r="AE310" s="505"/>
      <c r="AF310" s="505"/>
      <c r="AG310" s="505"/>
      <c r="AH310" s="505"/>
      <c r="AI310" s="505"/>
      <c r="AJ310" s="505"/>
      <c r="AK310" s="505"/>
      <c r="AL310" s="505"/>
    </row>
    <row r="311" spans="1:38" ht="9.9499999999999993" customHeight="1">
      <c r="A311" s="505"/>
      <c r="B311" s="505"/>
      <c r="C311" s="505"/>
      <c r="D311" s="505"/>
      <c r="E311" s="505"/>
      <c r="F311" s="505"/>
      <c r="G311" s="505"/>
      <c r="H311" s="505"/>
      <c r="I311" s="505"/>
      <c r="J311" s="505"/>
      <c r="K311" s="505"/>
      <c r="L311" s="505"/>
      <c r="M311" s="505"/>
      <c r="N311" s="505"/>
      <c r="O311" s="505"/>
      <c r="P311" s="505"/>
      <c r="Q311" s="505"/>
      <c r="R311" s="505"/>
      <c r="S311" s="505"/>
      <c r="T311" s="505"/>
      <c r="U311" s="505"/>
      <c r="V311" s="505"/>
      <c r="W311" s="505"/>
      <c r="X311" s="505"/>
      <c r="Y311" s="505"/>
      <c r="Z311" s="505"/>
      <c r="AA311" s="505"/>
      <c r="AB311" s="505"/>
      <c r="AC311" s="505"/>
      <c r="AD311" s="505"/>
      <c r="AE311" s="505"/>
      <c r="AF311" s="505"/>
      <c r="AG311" s="505"/>
      <c r="AH311" s="505"/>
      <c r="AI311" s="505"/>
      <c r="AJ311" s="505"/>
      <c r="AK311" s="505"/>
      <c r="AL311" s="505"/>
    </row>
    <row r="312" spans="1:38" ht="9.9499999999999993" customHeight="1">
      <c r="A312" s="505"/>
      <c r="B312" s="505"/>
      <c r="C312" s="505"/>
      <c r="D312" s="505"/>
      <c r="E312" s="505"/>
      <c r="F312" s="505"/>
      <c r="G312" s="505"/>
      <c r="H312" s="505"/>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row>
    <row r="313" spans="1:38" ht="9.9499999999999993" customHeight="1">
      <c r="A313" s="505"/>
      <c r="B313" s="505"/>
      <c r="C313" s="505"/>
      <c r="D313" s="505"/>
      <c r="E313" s="505"/>
      <c r="F313" s="505"/>
      <c r="G313" s="505"/>
      <c r="H313" s="505"/>
      <c r="I313" s="505"/>
      <c r="J313" s="505"/>
      <c r="K313" s="505"/>
      <c r="L313" s="505"/>
      <c r="M313" s="505"/>
      <c r="N313" s="505"/>
      <c r="O313" s="505"/>
      <c r="P313" s="505"/>
      <c r="Q313" s="505"/>
      <c r="R313" s="505"/>
      <c r="S313" s="505"/>
      <c r="T313" s="505"/>
      <c r="U313" s="505"/>
      <c r="V313" s="505"/>
      <c r="W313" s="505"/>
      <c r="X313" s="505"/>
      <c r="Y313" s="505"/>
      <c r="Z313" s="505"/>
      <c r="AA313" s="505"/>
      <c r="AB313" s="505"/>
      <c r="AC313" s="505"/>
      <c r="AD313" s="505"/>
      <c r="AE313" s="505"/>
      <c r="AF313" s="505"/>
      <c r="AG313" s="505"/>
      <c r="AH313" s="505"/>
      <c r="AI313" s="505"/>
      <c r="AJ313" s="505"/>
      <c r="AK313" s="505"/>
      <c r="AL313" s="505"/>
    </row>
    <row r="314" spans="1:38" ht="9.9499999999999993" customHeight="1">
      <c r="A314" s="505"/>
      <c r="B314" s="505"/>
      <c r="C314" s="505"/>
      <c r="D314" s="505"/>
      <c r="E314" s="505"/>
      <c r="F314" s="505"/>
      <c r="G314" s="505"/>
      <c r="H314" s="505"/>
      <c r="I314" s="505"/>
      <c r="J314" s="505"/>
      <c r="K314" s="505"/>
      <c r="L314" s="505"/>
      <c r="M314" s="505"/>
      <c r="N314" s="505"/>
      <c r="O314" s="505"/>
      <c r="P314" s="505"/>
      <c r="Q314" s="505"/>
      <c r="R314" s="505"/>
      <c r="S314" s="505"/>
      <c r="T314" s="505"/>
      <c r="U314" s="505"/>
      <c r="V314" s="505"/>
      <c r="W314" s="505"/>
      <c r="X314" s="505"/>
      <c r="Y314" s="505"/>
      <c r="Z314" s="505"/>
      <c r="AA314" s="505"/>
      <c r="AB314" s="505"/>
      <c r="AC314" s="505"/>
      <c r="AD314" s="505"/>
      <c r="AE314" s="505"/>
      <c r="AF314" s="505"/>
      <c r="AG314" s="505"/>
      <c r="AH314" s="505"/>
      <c r="AI314" s="505"/>
      <c r="AJ314" s="505"/>
      <c r="AK314" s="505"/>
      <c r="AL314" s="505"/>
    </row>
    <row r="315" spans="1:38" ht="9.9499999999999993" customHeight="1">
      <c r="A315" s="505"/>
      <c r="B315" s="505"/>
      <c r="C315" s="505"/>
      <c r="D315" s="505"/>
      <c r="E315" s="505"/>
      <c r="F315" s="505"/>
      <c r="G315" s="505"/>
      <c r="H315" s="505"/>
      <c r="I315" s="505"/>
      <c r="J315" s="505"/>
      <c r="K315" s="505"/>
      <c r="L315" s="505"/>
      <c r="M315" s="505"/>
      <c r="N315" s="505"/>
      <c r="O315" s="505"/>
      <c r="P315" s="505"/>
      <c r="Q315" s="505"/>
      <c r="R315" s="505"/>
      <c r="S315" s="505"/>
      <c r="T315" s="505"/>
      <c r="U315" s="505"/>
      <c r="V315" s="505"/>
      <c r="W315" s="505"/>
      <c r="X315" s="505"/>
      <c r="Y315" s="505"/>
      <c r="Z315" s="505"/>
      <c r="AA315" s="505"/>
      <c r="AB315" s="505"/>
      <c r="AC315" s="505"/>
      <c r="AD315" s="505"/>
      <c r="AE315" s="505"/>
      <c r="AF315" s="505"/>
      <c r="AG315" s="505"/>
      <c r="AH315" s="505"/>
      <c r="AI315" s="505"/>
      <c r="AJ315" s="505"/>
      <c r="AK315" s="505"/>
      <c r="AL315" s="505"/>
    </row>
    <row r="316" spans="1:38" ht="9.9499999999999993" customHeight="1">
      <c r="A316" s="505"/>
      <c r="B316" s="505"/>
      <c r="C316" s="505"/>
      <c r="D316" s="505"/>
      <c r="E316" s="505"/>
      <c r="F316" s="505"/>
      <c r="G316" s="505"/>
      <c r="H316" s="505"/>
      <c r="I316" s="505"/>
      <c r="J316" s="505"/>
      <c r="K316" s="505"/>
      <c r="L316" s="505"/>
      <c r="M316" s="505"/>
      <c r="N316" s="505"/>
      <c r="O316" s="505"/>
      <c r="P316" s="505"/>
      <c r="Q316" s="505"/>
      <c r="R316" s="505"/>
      <c r="S316" s="505"/>
      <c r="T316" s="505"/>
      <c r="U316" s="505"/>
      <c r="V316" s="505"/>
      <c r="W316" s="505"/>
      <c r="X316" s="505"/>
      <c r="Y316" s="505"/>
      <c r="Z316" s="505"/>
      <c r="AA316" s="505"/>
      <c r="AB316" s="505"/>
      <c r="AC316" s="505"/>
      <c r="AD316" s="505"/>
      <c r="AE316" s="505"/>
      <c r="AF316" s="505"/>
      <c r="AG316" s="505"/>
      <c r="AH316" s="505"/>
      <c r="AI316" s="505"/>
      <c r="AJ316" s="505"/>
      <c r="AK316" s="505"/>
      <c r="AL316" s="505"/>
    </row>
    <row r="317" spans="1:38" ht="9.9499999999999993" customHeight="1">
      <c r="A317" s="505"/>
      <c r="B317" s="505"/>
      <c r="C317" s="505"/>
      <c r="D317" s="505"/>
      <c r="E317" s="505"/>
      <c r="F317" s="505"/>
      <c r="G317" s="505"/>
      <c r="H317" s="505"/>
      <c r="I317" s="505"/>
      <c r="J317" s="505"/>
      <c r="K317" s="505"/>
      <c r="L317" s="505"/>
      <c r="M317" s="505"/>
      <c r="N317" s="505"/>
      <c r="O317" s="505"/>
      <c r="P317" s="505"/>
      <c r="Q317" s="505"/>
      <c r="R317" s="505"/>
      <c r="S317" s="505"/>
      <c r="T317" s="505"/>
      <c r="U317" s="505"/>
      <c r="V317" s="505"/>
      <c r="W317" s="505"/>
      <c r="X317" s="505"/>
      <c r="Y317" s="505"/>
      <c r="Z317" s="505"/>
      <c r="AA317" s="505"/>
      <c r="AB317" s="505"/>
      <c r="AC317" s="505"/>
      <c r="AD317" s="505"/>
      <c r="AE317" s="505"/>
      <c r="AF317" s="505"/>
      <c r="AG317" s="505"/>
      <c r="AH317" s="505"/>
      <c r="AI317" s="505"/>
      <c r="AJ317" s="505"/>
      <c r="AK317" s="505"/>
      <c r="AL317" s="505"/>
    </row>
    <row r="318" spans="1:38" ht="9.9499999999999993" customHeight="1">
      <c r="A318" s="505"/>
      <c r="B318" s="505"/>
      <c r="C318" s="505"/>
      <c r="D318" s="505"/>
      <c r="E318" s="505"/>
      <c r="F318" s="505"/>
      <c r="G318" s="505"/>
      <c r="H318" s="505"/>
      <c r="I318" s="505"/>
      <c r="J318" s="505"/>
      <c r="K318" s="505"/>
      <c r="L318" s="505"/>
      <c r="M318" s="505"/>
      <c r="N318" s="505"/>
      <c r="O318" s="505"/>
      <c r="P318" s="505"/>
      <c r="Q318" s="505"/>
      <c r="R318" s="505"/>
      <c r="S318" s="505"/>
      <c r="T318" s="505"/>
      <c r="U318" s="505"/>
      <c r="V318" s="505"/>
      <c r="W318" s="505"/>
      <c r="X318" s="505"/>
      <c r="Y318" s="505"/>
      <c r="Z318" s="505"/>
      <c r="AA318" s="505"/>
      <c r="AB318" s="505"/>
      <c r="AC318" s="505"/>
      <c r="AD318" s="505"/>
      <c r="AE318" s="505"/>
      <c r="AF318" s="505"/>
      <c r="AG318" s="505"/>
      <c r="AH318" s="505"/>
      <c r="AI318" s="505"/>
      <c r="AJ318" s="505"/>
      <c r="AK318" s="505"/>
      <c r="AL318" s="505"/>
    </row>
    <row r="319" spans="1:38" ht="9.9499999999999993" customHeight="1">
      <c r="A319" s="505"/>
      <c r="B319" s="505"/>
      <c r="C319" s="505"/>
      <c r="D319" s="505"/>
      <c r="E319" s="505"/>
      <c r="F319" s="505"/>
      <c r="G319" s="505"/>
      <c r="H319" s="505"/>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row>
    <row r="320" spans="1:38" ht="9.9499999999999993" customHeight="1">
      <c r="A320" s="505"/>
      <c r="B320" s="505"/>
      <c r="C320" s="505"/>
      <c r="D320" s="505"/>
      <c r="E320" s="505"/>
      <c r="F320" s="505"/>
      <c r="G320" s="505"/>
      <c r="H320" s="505"/>
      <c r="I320" s="505"/>
      <c r="J320" s="505"/>
      <c r="K320" s="505"/>
      <c r="L320" s="505"/>
      <c r="M320" s="505"/>
      <c r="N320" s="505"/>
      <c r="O320" s="505"/>
      <c r="P320" s="505"/>
      <c r="Q320" s="505"/>
      <c r="R320" s="505"/>
      <c r="S320" s="505"/>
      <c r="T320" s="505"/>
      <c r="U320" s="505"/>
      <c r="V320" s="505"/>
      <c r="W320" s="505"/>
      <c r="X320" s="505"/>
      <c r="Y320" s="505"/>
      <c r="Z320" s="505"/>
      <c r="AA320" s="505"/>
      <c r="AB320" s="505"/>
      <c r="AC320" s="505"/>
      <c r="AD320" s="505"/>
      <c r="AE320" s="505"/>
      <c r="AF320" s="505"/>
      <c r="AG320" s="505"/>
      <c r="AH320" s="505"/>
      <c r="AI320" s="505"/>
      <c r="AJ320" s="505"/>
      <c r="AK320" s="505"/>
      <c r="AL320" s="505"/>
    </row>
    <row r="321" spans="1:38" ht="9.9499999999999993" customHeight="1">
      <c r="A321" s="505"/>
      <c r="B321" s="505"/>
      <c r="C321" s="505"/>
      <c r="D321" s="505"/>
      <c r="E321" s="505"/>
      <c r="F321" s="505"/>
      <c r="G321" s="505"/>
      <c r="H321" s="505"/>
      <c r="I321" s="505"/>
      <c r="J321" s="505"/>
      <c r="K321" s="505"/>
      <c r="L321" s="505"/>
      <c r="M321" s="505"/>
      <c r="N321" s="505"/>
      <c r="O321" s="505"/>
      <c r="P321" s="505"/>
      <c r="Q321" s="505"/>
      <c r="R321" s="505"/>
      <c r="S321" s="505"/>
      <c r="T321" s="505"/>
      <c r="U321" s="505"/>
      <c r="V321" s="505"/>
      <c r="W321" s="505"/>
      <c r="X321" s="505"/>
      <c r="Y321" s="505"/>
      <c r="Z321" s="505"/>
      <c r="AA321" s="505"/>
      <c r="AB321" s="505"/>
      <c r="AC321" s="505"/>
      <c r="AD321" s="505"/>
      <c r="AE321" s="505"/>
      <c r="AF321" s="505"/>
      <c r="AG321" s="505"/>
      <c r="AH321" s="505"/>
      <c r="AI321" s="505"/>
      <c r="AJ321" s="505"/>
      <c r="AK321" s="505"/>
      <c r="AL321" s="505"/>
    </row>
    <row r="322" spans="1:38" ht="9.9499999999999993" customHeight="1">
      <c r="A322" s="505"/>
      <c r="B322" s="505"/>
      <c r="C322" s="505"/>
      <c r="D322" s="505"/>
      <c r="E322" s="505"/>
      <c r="F322" s="505"/>
      <c r="G322" s="505"/>
      <c r="H322" s="505"/>
      <c r="I322" s="505"/>
      <c r="J322" s="505"/>
      <c r="K322" s="505"/>
      <c r="L322" s="505"/>
      <c r="M322" s="505"/>
      <c r="N322" s="505"/>
      <c r="O322" s="505"/>
      <c r="P322" s="505"/>
      <c r="Q322" s="505"/>
      <c r="R322" s="505"/>
      <c r="S322" s="505"/>
      <c r="T322" s="505"/>
      <c r="U322" s="505"/>
      <c r="V322" s="505"/>
      <c r="W322" s="505"/>
      <c r="X322" s="505"/>
      <c r="Y322" s="505"/>
      <c r="Z322" s="505"/>
      <c r="AA322" s="505"/>
      <c r="AB322" s="505"/>
      <c r="AC322" s="505"/>
      <c r="AD322" s="505"/>
      <c r="AE322" s="505"/>
      <c r="AF322" s="505"/>
      <c r="AG322" s="505"/>
      <c r="AH322" s="505"/>
      <c r="AI322" s="505"/>
      <c r="AJ322" s="505"/>
      <c r="AK322" s="505"/>
      <c r="AL322" s="505"/>
    </row>
    <row r="323" spans="1:38" ht="9.9499999999999993" customHeight="1">
      <c r="A323" s="505"/>
      <c r="B323" s="505"/>
      <c r="C323" s="505"/>
      <c r="D323" s="505"/>
      <c r="E323" s="505"/>
      <c r="F323" s="505"/>
      <c r="G323" s="505"/>
      <c r="H323" s="505"/>
      <c r="I323" s="505"/>
      <c r="J323" s="505"/>
      <c r="K323" s="505"/>
      <c r="L323" s="505"/>
      <c r="M323" s="505"/>
      <c r="N323" s="505"/>
      <c r="O323" s="505"/>
      <c r="P323" s="505"/>
      <c r="Q323" s="505"/>
      <c r="R323" s="505"/>
      <c r="S323" s="505"/>
      <c r="T323" s="505"/>
      <c r="U323" s="505"/>
      <c r="V323" s="505"/>
      <c r="W323" s="505"/>
      <c r="X323" s="505"/>
      <c r="Y323" s="505"/>
      <c r="Z323" s="505"/>
      <c r="AA323" s="505"/>
      <c r="AB323" s="505"/>
      <c r="AC323" s="505"/>
      <c r="AD323" s="505"/>
      <c r="AE323" s="505"/>
      <c r="AF323" s="505"/>
      <c r="AG323" s="505"/>
      <c r="AH323" s="505"/>
      <c r="AI323" s="505"/>
      <c r="AJ323" s="505"/>
      <c r="AK323" s="505"/>
      <c r="AL323" s="505"/>
    </row>
    <row r="324" spans="1:38" ht="9.9499999999999993" customHeight="1">
      <c r="A324" s="505"/>
      <c r="B324" s="505"/>
      <c r="C324" s="505"/>
      <c r="D324" s="505"/>
      <c r="E324" s="505"/>
      <c r="F324" s="505"/>
      <c r="G324" s="505"/>
      <c r="H324" s="505"/>
      <c r="I324" s="505"/>
      <c r="J324" s="505"/>
      <c r="K324" s="505"/>
      <c r="L324" s="505"/>
      <c r="M324" s="505"/>
      <c r="N324" s="505"/>
      <c r="O324" s="505"/>
      <c r="P324" s="505"/>
      <c r="Q324" s="505"/>
      <c r="R324" s="505"/>
      <c r="S324" s="505"/>
      <c r="T324" s="505"/>
      <c r="U324" s="505"/>
      <c r="V324" s="505"/>
      <c r="W324" s="505"/>
      <c r="X324" s="505"/>
      <c r="Y324" s="505"/>
      <c r="Z324" s="505"/>
      <c r="AA324" s="505"/>
      <c r="AB324" s="505"/>
      <c r="AC324" s="505"/>
      <c r="AD324" s="505"/>
      <c r="AE324" s="505"/>
      <c r="AF324" s="505"/>
      <c r="AG324" s="505"/>
      <c r="AH324" s="505"/>
      <c r="AI324" s="505"/>
      <c r="AJ324" s="505"/>
      <c r="AK324" s="505"/>
      <c r="AL324" s="505"/>
    </row>
    <row r="325" spans="1:38" ht="9.9499999999999993" customHeight="1">
      <c r="A325" s="505"/>
      <c r="B325" s="505"/>
      <c r="C325" s="505"/>
      <c r="D325" s="505"/>
      <c r="E325" s="505"/>
      <c r="F325" s="505"/>
      <c r="G325" s="505"/>
      <c r="H325" s="505"/>
      <c r="I325" s="505"/>
      <c r="J325" s="505"/>
      <c r="K325" s="505"/>
      <c r="L325" s="505"/>
      <c r="M325" s="505"/>
      <c r="N325" s="505"/>
      <c r="O325" s="505"/>
      <c r="P325" s="505"/>
      <c r="Q325" s="505"/>
      <c r="R325" s="505"/>
      <c r="S325" s="505"/>
      <c r="T325" s="505"/>
      <c r="U325" s="505"/>
      <c r="V325" s="505"/>
      <c r="W325" s="505"/>
      <c r="X325" s="505"/>
      <c r="Y325" s="505"/>
      <c r="Z325" s="505"/>
      <c r="AA325" s="505"/>
      <c r="AB325" s="505"/>
      <c r="AC325" s="505"/>
      <c r="AD325" s="505"/>
      <c r="AE325" s="505"/>
      <c r="AF325" s="505"/>
      <c r="AG325" s="505"/>
      <c r="AH325" s="505"/>
      <c r="AI325" s="505"/>
      <c r="AJ325" s="505"/>
      <c r="AK325" s="505"/>
      <c r="AL325" s="505"/>
    </row>
    <row r="326" spans="1:38" ht="9.9499999999999993" customHeight="1">
      <c r="A326" s="505"/>
      <c r="B326" s="505"/>
      <c r="C326" s="505"/>
      <c r="D326" s="505"/>
      <c r="E326" s="505"/>
      <c r="F326" s="505"/>
      <c r="G326" s="505"/>
      <c r="H326" s="505"/>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row>
    <row r="327" spans="1:38" ht="9.9499999999999993" customHeight="1">
      <c r="A327" s="505"/>
      <c r="B327" s="505"/>
      <c r="C327" s="505"/>
      <c r="D327" s="505"/>
      <c r="E327" s="505"/>
      <c r="F327" s="505"/>
      <c r="G327" s="505"/>
      <c r="H327" s="505"/>
      <c r="I327" s="505"/>
      <c r="J327" s="505"/>
      <c r="K327" s="505"/>
      <c r="L327" s="505"/>
      <c r="M327" s="505"/>
      <c r="N327" s="505"/>
      <c r="O327" s="505"/>
      <c r="P327" s="505"/>
      <c r="Q327" s="505"/>
      <c r="R327" s="505"/>
      <c r="S327" s="505"/>
      <c r="T327" s="505"/>
      <c r="U327" s="505"/>
      <c r="V327" s="505"/>
      <c r="W327" s="505"/>
      <c r="X327" s="505"/>
      <c r="Y327" s="505"/>
      <c r="Z327" s="505"/>
      <c r="AA327" s="505"/>
      <c r="AB327" s="505"/>
      <c r="AC327" s="505"/>
      <c r="AD327" s="505"/>
      <c r="AE327" s="505"/>
      <c r="AF327" s="505"/>
      <c r="AG327" s="505"/>
      <c r="AH327" s="505"/>
      <c r="AI327" s="505"/>
      <c r="AJ327" s="505"/>
      <c r="AK327" s="505"/>
      <c r="AL327" s="505"/>
    </row>
    <row r="328" spans="1:38" ht="9.9499999999999993" customHeight="1">
      <c r="A328" s="505"/>
      <c r="B328" s="505"/>
      <c r="C328" s="505"/>
      <c r="D328" s="505"/>
      <c r="E328" s="505"/>
      <c r="F328" s="505"/>
      <c r="G328" s="505"/>
      <c r="H328" s="505"/>
      <c r="I328" s="505"/>
      <c r="J328" s="505"/>
      <c r="K328" s="505"/>
      <c r="L328" s="505"/>
      <c r="M328" s="505"/>
      <c r="N328" s="505"/>
      <c r="O328" s="505"/>
      <c r="P328" s="505"/>
      <c r="Q328" s="505"/>
      <c r="R328" s="505"/>
      <c r="S328" s="505"/>
      <c r="T328" s="505"/>
      <c r="U328" s="505"/>
      <c r="V328" s="505"/>
      <c r="W328" s="505"/>
      <c r="X328" s="505"/>
      <c r="Y328" s="505"/>
      <c r="Z328" s="505"/>
      <c r="AA328" s="505"/>
      <c r="AB328" s="505"/>
      <c r="AC328" s="505"/>
      <c r="AD328" s="505"/>
      <c r="AE328" s="505"/>
      <c r="AF328" s="505"/>
      <c r="AG328" s="505"/>
      <c r="AH328" s="505"/>
      <c r="AI328" s="505"/>
      <c r="AJ328" s="505"/>
      <c r="AK328" s="505"/>
      <c r="AL328" s="505"/>
    </row>
    <row r="329" spans="1:38" ht="9.9499999999999993" customHeight="1">
      <c r="A329" s="505"/>
      <c r="B329" s="505"/>
      <c r="C329" s="505"/>
      <c r="D329" s="505"/>
      <c r="E329" s="505"/>
      <c r="F329" s="505"/>
      <c r="G329" s="505"/>
      <c r="H329" s="505"/>
      <c r="I329" s="505"/>
      <c r="J329" s="505"/>
      <c r="K329" s="505"/>
      <c r="L329" s="505"/>
      <c r="M329" s="505"/>
      <c r="N329" s="505"/>
      <c r="O329" s="505"/>
      <c r="P329" s="505"/>
      <c r="Q329" s="505"/>
      <c r="R329" s="505"/>
      <c r="S329" s="505"/>
      <c r="T329" s="505"/>
      <c r="U329" s="505"/>
      <c r="V329" s="505"/>
      <c r="W329" s="505"/>
      <c r="X329" s="505"/>
      <c r="Y329" s="505"/>
      <c r="Z329" s="505"/>
      <c r="AA329" s="505"/>
      <c r="AB329" s="505"/>
      <c r="AC329" s="505"/>
      <c r="AD329" s="505"/>
      <c r="AE329" s="505"/>
      <c r="AF329" s="505"/>
      <c r="AG329" s="505"/>
      <c r="AH329" s="505"/>
      <c r="AI329" s="505"/>
      <c r="AJ329" s="505"/>
      <c r="AK329" s="505"/>
      <c r="AL329" s="505"/>
    </row>
    <row r="330" spans="1:38" ht="9.9499999999999993" customHeight="1">
      <c r="A330" s="505"/>
      <c r="B330" s="505"/>
      <c r="C330" s="505"/>
      <c r="D330" s="505"/>
      <c r="E330" s="505"/>
      <c r="F330" s="505"/>
      <c r="G330" s="505"/>
      <c r="H330" s="505"/>
      <c r="I330" s="505"/>
      <c r="J330" s="505"/>
      <c r="K330" s="505"/>
      <c r="L330" s="505"/>
      <c r="M330" s="505"/>
      <c r="N330" s="505"/>
      <c r="O330" s="505"/>
      <c r="P330" s="505"/>
      <c r="Q330" s="505"/>
      <c r="R330" s="505"/>
      <c r="S330" s="505"/>
      <c r="T330" s="505"/>
      <c r="U330" s="505"/>
      <c r="V330" s="505"/>
      <c r="W330" s="505"/>
      <c r="X330" s="505"/>
      <c r="Y330" s="505"/>
      <c r="Z330" s="505"/>
      <c r="AA330" s="505"/>
      <c r="AB330" s="505"/>
      <c r="AC330" s="505"/>
      <c r="AD330" s="505"/>
      <c r="AE330" s="505"/>
      <c r="AF330" s="505"/>
      <c r="AG330" s="505"/>
      <c r="AH330" s="505"/>
      <c r="AI330" s="505"/>
      <c r="AJ330" s="505"/>
      <c r="AK330" s="505"/>
      <c r="AL330" s="505"/>
    </row>
    <row r="331" spans="1:38" ht="9.9499999999999993" customHeight="1">
      <c r="A331" s="505"/>
      <c r="B331" s="505"/>
      <c r="C331" s="505"/>
      <c r="D331" s="505"/>
      <c r="E331" s="505"/>
      <c r="F331" s="505"/>
      <c r="G331" s="505"/>
      <c r="H331" s="505"/>
      <c r="I331" s="505"/>
      <c r="J331" s="505"/>
      <c r="K331" s="505"/>
      <c r="L331" s="505"/>
      <c r="M331" s="505"/>
      <c r="N331" s="505"/>
      <c r="O331" s="505"/>
      <c r="P331" s="505"/>
      <c r="Q331" s="505"/>
      <c r="R331" s="505"/>
      <c r="S331" s="505"/>
      <c r="T331" s="505"/>
      <c r="U331" s="505"/>
      <c r="V331" s="505"/>
      <c r="W331" s="505"/>
      <c r="X331" s="505"/>
      <c r="Y331" s="505"/>
      <c r="Z331" s="505"/>
      <c r="AA331" s="505"/>
      <c r="AB331" s="505"/>
      <c r="AC331" s="505"/>
      <c r="AD331" s="505"/>
      <c r="AE331" s="505"/>
      <c r="AF331" s="505"/>
      <c r="AG331" s="505"/>
      <c r="AH331" s="505"/>
      <c r="AI331" s="505"/>
      <c r="AJ331" s="505"/>
      <c r="AK331" s="505"/>
      <c r="AL331" s="505"/>
    </row>
    <row r="332" spans="1:38" ht="9.9499999999999993" customHeight="1">
      <c r="A332" s="505"/>
      <c r="B332" s="505"/>
      <c r="C332" s="505"/>
      <c r="D332" s="505"/>
      <c r="E332" s="505"/>
      <c r="F332" s="505"/>
      <c r="G332" s="505"/>
      <c r="H332" s="505"/>
      <c r="I332" s="505"/>
      <c r="J332" s="505"/>
      <c r="K332" s="505"/>
      <c r="L332" s="505"/>
      <c r="M332" s="505"/>
      <c r="N332" s="505"/>
      <c r="O332" s="505"/>
      <c r="P332" s="505"/>
      <c r="Q332" s="505"/>
      <c r="R332" s="505"/>
      <c r="S332" s="505"/>
      <c r="T332" s="505"/>
      <c r="U332" s="505"/>
      <c r="V332" s="505"/>
      <c r="W332" s="505"/>
      <c r="X332" s="505"/>
      <c r="Y332" s="505"/>
      <c r="Z332" s="505"/>
      <c r="AA332" s="505"/>
      <c r="AB332" s="505"/>
      <c r="AC332" s="505"/>
      <c r="AD332" s="505"/>
      <c r="AE332" s="505"/>
      <c r="AF332" s="505"/>
      <c r="AG332" s="505"/>
      <c r="AH332" s="505"/>
      <c r="AI332" s="505"/>
      <c r="AJ332" s="505"/>
      <c r="AK332" s="505"/>
      <c r="AL332" s="505"/>
    </row>
    <row r="333" spans="1:38" ht="9.9499999999999993" customHeight="1">
      <c r="A333" s="505"/>
      <c r="B333" s="505"/>
      <c r="C333" s="505"/>
      <c r="D333" s="505"/>
      <c r="E333" s="505"/>
      <c r="F333" s="505"/>
      <c r="G333" s="505"/>
      <c r="H333" s="505"/>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row>
    <row r="334" spans="1:38" ht="9.9499999999999993" customHeight="1">
      <c r="A334" s="505"/>
      <c r="B334" s="505"/>
      <c r="C334" s="505"/>
      <c r="D334" s="505"/>
      <c r="E334" s="505"/>
      <c r="F334" s="505"/>
      <c r="G334" s="505"/>
      <c r="H334" s="505"/>
      <c r="I334" s="505"/>
      <c r="J334" s="505"/>
      <c r="K334" s="505"/>
      <c r="L334" s="505"/>
      <c r="M334" s="505"/>
      <c r="N334" s="505"/>
      <c r="O334" s="505"/>
      <c r="P334" s="505"/>
      <c r="Q334" s="505"/>
      <c r="R334" s="505"/>
      <c r="S334" s="505"/>
      <c r="T334" s="505"/>
      <c r="U334" s="505"/>
      <c r="V334" s="505"/>
      <c r="W334" s="505"/>
      <c r="X334" s="505"/>
      <c r="Y334" s="505"/>
      <c r="Z334" s="505"/>
      <c r="AA334" s="505"/>
      <c r="AB334" s="505"/>
      <c r="AC334" s="505"/>
      <c r="AD334" s="505"/>
      <c r="AE334" s="505"/>
      <c r="AF334" s="505"/>
      <c r="AG334" s="505"/>
      <c r="AH334" s="505"/>
      <c r="AI334" s="505"/>
      <c r="AJ334" s="505"/>
      <c r="AK334" s="505"/>
      <c r="AL334" s="505"/>
    </row>
    <row r="335" spans="1:38" ht="9.9499999999999993" customHeight="1">
      <c r="A335" s="505"/>
      <c r="B335" s="505"/>
      <c r="C335" s="505"/>
      <c r="D335" s="505"/>
      <c r="E335" s="505"/>
      <c r="F335" s="505"/>
      <c r="G335" s="505"/>
      <c r="H335" s="505"/>
      <c r="I335" s="505"/>
      <c r="J335" s="505"/>
      <c r="K335" s="505"/>
      <c r="L335" s="505"/>
      <c r="M335" s="505"/>
      <c r="N335" s="505"/>
      <c r="O335" s="505"/>
      <c r="P335" s="505"/>
      <c r="Q335" s="505"/>
      <c r="R335" s="505"/>
      <c r="S335" s="505"/>
      <c r="T335" s="505"/>
      <c r="U335" s="505"/>
      <c r="V335" s="505"/>
      <c r="W335" s="505"/>
      <c r="X335" s="505"/>
      <c r="Y335" s="505"/>
      <c r="Z335" s="505"/>
      <c r="AA335" s="505"/>
      <c r="AB335" s="505"/>
      <c r="AC335" s="505"/>
      <c r="AD335" s="505"/>
      <c r="AE335" s="505"/>
      <c r="AF335" s="505"/>
      <c r="AG335" s="505"/>
      <c r="AH335" s="505"/>
      <c r="AI335" s="505"/>
      <c r="AJ335" s="505"/>
      <c r="AK335" s="505"/>
      <c r="AL335" s="505"/>
    </row>
    <row r="336" spans="1:38" ht="9.9499999999999993" customHeight="1">
      <c r="A336" s="505"/>
      <c r="B336" s="505"/>
      <c r="C336" s="505"/>
      <c r="D336" s="505"/>
      <c r="E336" s="505"/>
      <c r="F336" s="505"/>
      <c r="G336" s="505"/>
      <c r="H336" s="505"/>
      <c r="I336" s="505"/>
      <c r="J336" s="505"/>
      <c r="K336" s="505"/>
      <c r="L336" s="505"/>
      <c r="M336" s="505"/>
      <c r="N336" s="505"/>
      <c r="O336" s="505"/>
      <c r="P336" s="505"/>
      <c r="Q336" s="505"/>
      <c r="R336" s="505"/>
      <c r="S336" s="505"/>
      <c r="T336" s="505"/>
      <c r="U336" s="505"/>
      <c r="V336" s="505"/>
      <c r="W336" s="505"/>
      <c r="X336" s="505"/>
      <c r="Y336" s="505"/>
      <c r="Z336" s="505"/>
      <c r="AA336" s="505"/>
      <c r="AB336" s="505"/>
      <c r="AC336" s="505"/>
      <c r="AD336" s="505"/>
      <c r="AE336" s="505"/>
      <c r="AF336" s="505"/>
      <c r="AG336" s="505"/>
      <c r="AH336" s="505"/>
      <c r="AI336" s="505"/>
      <c r="AJ336" s="505"/>
      <c r="AK336" s="505"/>
      <c r="AL336" s="505"/>
    </row>
    <row r="337" spans="1:38" ht="9.9499999999999993" customHeight="1">
      <c r="A337" s="505"/>
      <c r="B337" s="505"/>
      <c r="C337" s="505"/>
      <c r="D337" s="505"/>
      <c r="E337" s="505"/>
      <c r="F337" s="505"/>
      <c r="G337" s="505"/>
      <c r="H337" s="505"/>
      <c r="I337" s="505"/>
      <c r="J337" s="505"/>
      <c r="K337" s="505"/>
      <c r="L337" s="505"/>
      <c r="M337" s="505"/>
      <c r="N337" s="505"/>
      <c r="O337" s="505"/>
      <c r="P337" s="505"/>
      <c r="Q337" s="505"/>
      <c r="R337" s="505"/>
      <c r="S337" s="505"/>
      <c r="T337" s="505"/>
      <c r="U337" s="505"/>
      <c r="V337" s="505"/>
      <c r="W337" s="505"/>
      <c r="X337" s="505"/>
      <c r="Y337" s="505"/>
      <c r="Z337" s="505"/>
      <c r="AA337" s="505"/>
      <c r="AB337" s="505"/>
      <c r="AC337" s="505"/>
      <c r="AD337" s="505"/>
      <c r="AE337" s="505"/>
      <c r="AF337" s="505"/>
      <c r="AG337" s="505"/>
      <c r="AH337" s="505"/>
      <c r="AI337" s="505"/>
      <c r="AJ337" s="505"/>
      <c r="AK337" s="505"/>
      <c r="AL337" s="505"/>
    </row>
    <row r="338" spans="1:38" ht="9.9499999999999993" customHeight="1">
      <c r="A338" s="505"/>
      <c r="B338" s="505"/>
      <c r="C338" s="505"/>
      <c r="D338" s="505"/>
      <c r="E338" s="505"/>
      <c r="F338" s="505"/>
      <c r="G338" s="505"/>
      <c r="H338" s="505"/>
      <c r="I338" s="505"/>
      <c r="J338" s="505"/>
      <c r="K338" s="505"/>
      <c r="L338" s="505"/>
      <c r="M338" s="505"/>
      <c r="N338" s="505"/>
      <c r="O338" s="505"/>
      <c r="P338" s="505"/>
      <c r="Q338" s="505"/>
      <c r="R338" s="505"/>
      <c r="S338" s="505"/>
      <c r="T338" s="505"/>
      <c r="U338" s="505"/>
      <c r="V338" s="505"/>
      <c r="W338" s="505"/>
      <c r="X338" s="505"/>
      <c r="Y338" s="505"/>
      <c r="Z338" s="505"/>
      <c r="AA338" s="505"/>
      <c r="AB338" s="505"/>
      <c r="AC338" s="505"/>
      <c r="AD338" s="505"/>
      <c r="AE338" s="505"/>
      <c r="AF338" s="505"/>
      <c r="AG338" s="505"/>
      <c r="AH338" s="505"/>
      <c r="AI338" s="505"/>
      <c r="AJ338" s="505"/>
      <c r="AK338" s="505"/>
      <c r="AL338" s="505"/>
    </row>
    <row r="339" spans="1:38" ht="9.9499999999999993" customHeight="1">
      <c r="A339" s="505"/>
      <c r="B339" s="505"/>
      <c r="C339" s="505"/>
      <c r="D339" s="505"/>
      <c r="E339" s="505"/>
      <c r="F339" s="505"/>
      <c r="G339" s="505"/>
      <c r="H339" s="505"/>
      <c r="I339" s="505"/>
      <c r="J339" s="505"/>
      <c r="K339" s="505"/>
      <c r="L339" s="505"/>
      <c r="M339" s="505"/>
      <c r="N339" s="505"/>
      <c r="O339" s="505"/>
      <c r="P339" s="505"/>
      <c r="Q339" s="505"/>
      <c r="R339" s="505"/>
      <c r="S339" s="505"/>
      <c r="T339" s="505"/>
      <c r="U339" s="505"/>
      <c r="V339" s="505"/>
      <c r="W339" s="505"/>
      <c r="X339" s="505"/>
      <c r="Y339" s="505"/>
      <c r="Z339" s="505"/>
      <c r="AA339" s="505"/>
      <c r="AB339" s="505"/>
      <c r="AC339" s="505"/>
      <c r="AD339" s="505"/>
      <c r="AE339" s="505"/>
      <c r="AF339" s="505"/>
      <c r="AG339" s="505"/>
      <c r="AH339" s="505"/>
      <c r="AI339" s="505"/>
      <c r="AJ339" s="505"/>
      <c r="AK339" s="505"/>
      <c r="AL339" s="505"/>
    </row>
    <row r="340" spans="1:38" ht="9.9499999999999993" customHeight="1">
      <c r="A340" s="505"/>
      <c r="B340" s="505"/>
      <c r="C340" s="505"/>
      <c r="D340" s="505"/>
      <c r="E340" s="505"/>
      <c r="F340" s="505"/>
      <c r="G340" s="505"/>
      <c r="H340" s="505"/>
      <c r="I340" s="505"/>
      <c r="J340" s="505"/>
      <c r="K340" s="505"/>
      <c r="L340" s="505"/>
      <c r="M340" s="505"/>
      <c r="N340" s="505"/>
      <c r="O340" s="505"/>
      <c r="P340" s="505"/>
      <c r="Q340" s="505"/>
      <c r="R340" s="505"/>
      <c r="S340" s="505"/>
      <c r="T340" s="505"/>
      <c r="U340" s="505"/>
      <c r="V340" s="505"/>
      <c r="W340" s="505"/>
      <c r="X340" s="505"/>
      <c r="Y340" s="505"/>
      <c r="Z340" s="505"/>
      <c r="AA340" s="505"/>
      <c r="AB340" s="505"/>
      <c r="AC340" s="505"/>
      <c r="AD340" s="505"/>
      <c r="AE340" s="505"/>
      <c r="AF340" s="505"/>
      <c r="AG340" s="505"/>
      <c r="AH340" s="505"/>
      <c r="AI340" s="505"/>
      <c r="AJ340" s="505"/>
      <c r="AK340" s="505"/>
      <c r="AL340" s="505"/>
    </row>
    <row r="341" spans="1:38" ht="9.9499999999999993" customHeight="1">
      <c r="A341" s="505"/>
      <c r="B341" s="505"/>
      <c r="C341" s="505"/>
      <c r="D341" s="505"/>
      <c r="E341" s="505"/>
      <c r="F341" s="505"/>
      <c r="G341" s="505"/>
      <c r="H341" s="505"/>
      <c r="I341" s="505"/>
      <c r="J341" s="505"/>
      <c r="K341" s="505"/>
      <c r="L341" s="505"/>
      <c r="M341" s="505"/>
      <c r="N341" s="505"/>
      <c r="O341" s="505"/>
      <c r="P341" s="505"/>
      <c r="Q341" s="505"/>
      <c r="R341" s="505"/>
      <c r="S341" s="505"/>
      <c r="T341" s="505"/>
      <c r="U341" s="505"/>
      <c r="V341" s="505"/>
      <c r="W341" s="505"/>
      <c r="X341" s="505"/>
      <c r="Y341" s="505"/>
      <c r="Z341" s="505"/>
      <c r="AA341" s="505"/>
      <c r="AB341" s="505"/>
      <c r="AC341" s="505"/>
      <c r="AD341" s="505"/>
      <c r="AE341" s="505"/>
      <c r="AF341" s="505"/>
      <c r="AG341" s="505"/>
      <c r="AH341" s="505"/>
      <c r="AI341" s="505"/>
      <c r="AJ341" s="505"/>
      <c r="AK341" s="505"/>
      <c r="AL341" s="505"/>
    </row>
    <row r="342" spans="1:38" ht="9.9499999999999993" customHeight="1">
      <c r="A342" s="505"/>
      <c r="B342" s="505"/>
      <c r="C342" s="505"/>
      <c r="D342" s="505"/>
      <c r="E342" s="505"/>
      <c r="F342" s="505"/>
      <c r="G342" s="505"/>
      <c r="H342" s="505"/>
      <c r="I342" s="505"/>
      <c r="J342" s="505"/>
      <c r="K342" s="505"/>
      <c r="L342" s="505"/>
      <c r="M342" s="505"/>
      <c r="N342" s="505"/>
      <c r="O342" s="505"/>
      <c r="P342" s="505"/>
      <c r="Q342" s="505"/>
      <c r="R342" s="505"/>
      <c r="S342" s="505"/>
      <c r="T342" s="505"/>
      <c r="U342" s="505"/>
      <c r="V342" s="505"/>
      <c r="W342" s="505"/>
      <c r="X342" s="505"/>
      <c r="Y342" s="505"/>
      <c r="Z342" s="505"/>
      <c r="AA342" s="505"/>
      <c r="AB342" s="505"/>
      <c r="AC342" s="505"/>
      <c r="AD342" s="505"/>
      <c r="AE342" s="505"/>
      <c r="AF342" s="505"/>
      <c r="AG342" s="505"/>
      <c r="AH342" s="505"/>
      <c r="AI342" s="505"/>
      <c r="AJ342" s="505"/>
      <c r="AK342" s="505"/>
      <c r="AL342" s="505"/>
    </row>
    <row r="343" spans="1:38" ht="9.9499999999999993" customHeight="1">
      <c r="A343" s="505"/>
      <c r="B343" s="505"/>
      <c r="C343" s="505"/>
      <c r="D343" s="505"/>
      <c r="E343" s="505"/>
      <c r="F343" s="505"/>
      <c r="G343" s="505"/>
      <c r="H343" s="505"/>
      <c r="I343" s="505"/>
      <c r="J343" s="505"/>
      <c r="K343" s="505"/>
      <c r="L343" s="505"/>
      <c r="M343" s="505"/>
      <c r="N343" s="505"/>
      <c r="O343" s="505"/>
      <c r="P343" s="505"/>
      <c r="Q343" s="505"/>
      <c r="R343" s="505"/>
      <c r="S343" s="505"/>
      <c r="T343" s="505"/>
      <c r="U343" s="505"/>
      <c r="V343" s="505"/>
      <c r="W343" s="505"/>
      <c r="X343" s="505"/>
      <c r="Y343" s="505"/>
      <c r="Z343" s="505"/>
      <c r="AA343" s="505"/>
      <c r="AB343" s="505"/>
      <c r="AC343" s="505"/>
      <c r="AD343" s="505"/>
      <c r="AE343" s="505"/>
      <c r="AF343" s="505"/>
      <c r="AG343" s="505"/>
      <c r="AH343" s="505"/>
      <c r="AI343" s="505"/>
      <c r="AJ343" s="505"/>
      <c r="AK343" s="505"/>
      <c r="AL343" s="505"/>
    </row>
    <row r="344" spans="1:38" ht="9.9499999999999993" customHeight="1">
      <c r="A344" s="505"/>
      <c r="B344" s="505"/>
      <c r="C344" s="505"/>
      <c r="D344" s="505"/>
      <c r="E344" s="505"/>
      <c r="F344" s="505"/>
      <c r="G344" s="505"/>
      <c r="H344" s="505"/>
      <c r="I344" s="505"/>
      <c r="J344" s="505"/>
      <c r="K344" s="505"/>
      <c r="L344" s="505"/>
      <c r="M344" s="505"/>
      <c r="N344" s="505"/>
      <c r="O344" s="505"/>
      <c r="P344" s="505"/>
      <c r="Q344" s="505"/>
      <c r="R344" s="505"/>
      <c r="S344" s="505"/>
      <c r="T344" s="505"/>
      <c r="U344" s="505"/>
      <c r="V344" s="505"/>
      <c r="W344" s="505"/>
      <c r="X344" s="505"/>
      <c r="Y344" s="505"/>
      <c r="Z344" s="505"/>
      <c r="AA344" s="505"/>
      <c r="AB344" s="505"/>
      <c r="AC344" s="505"/>
      <c r="AD344" s="505"/>
      <c r="AE344" s="505"/>
      <c r="AF344" s="505"/>
      <c r="AG344" s="505"/>
      <c r="AH344" s="505"/>
      <c r="AI344" s="505"/>
      <c r="AJ344" s="505"/>
      <c r="AK344" s="505"/>
      <c r="AL344" s="505"/>
    </row>
    <row r="345" spans="1:38" ht="9.9499999999999993" customHeight="1">
      <c r="A345" s="505"/>
      <c r="B345" s="505"/>
      <c r="C345" s="505"/>
      <c r="D345" s="505"/>
      <c r="E345" s="505"/>
      <c r="F345" s="505"/>
      <c r="G345" s="505"/>
      <c r="H345" s="505"/>
      <c r="I345" s="505"/>
      <c r="J345" s="505"/>
      <c r="K345" s="505"/>
      <c r="L345" s="505"/>
      <c r="M345" s="505"/>
      <c r="N345" s="505"/>
      <c r="O345" s="505"/>
      <c r="P345" s="505"/>
      <c r="Q345" s="505"/>
      <c r="R345" s="505"/>
      <c r="S345" s="505"/>
      <c r="T345" s="505"/>
      <c r="U345" s="505"/>
      <c r="V345" s="505"/>
      <c r="W345" s="505"/>
      <c r="X345" s="505"/>
      <c r="Y345" s="505"/>
      <c r="Z345" s="505"/>
      <c r="AA345" s="505"/>
      <c r="AB345" s="505"/>
      <c r="AC345" s="505"/>
      <c r="AD345" s="505"/>
      <c r="AE345" s="505"/>
      <c r="AF345" s="505"/>
      <c r="AG345" s="505"/>
      <c r="AH345" s="505"/>
      <c r="AI345" s="505"/>
      <c r="AJ345" s="505"/>
      <c r="AK345" s="505"/>
      <c r="AL345" s="505"/>
    </row>
    <row r="346" spans="1:38" ht="9.9499999999999993" customHeight="1">
      <c r="A346" s="505"/>
      <c r="B346" s="505"/>
      <c r="C346" s="505"/>
      <c r="D346" s="505"/>
      <c r="E346" s="505"/>
      <c r="F346" s="505"/>
      <c r="G346" s="505"/>
      <c r="H346" s="505"/>
      <c r="I346" s="505"/>
      <c r="J346" s="505"/>
      <c r="K346" s="505"/>
      <c r="L346" s="505"/>
      <c r="M346" s="505"/>
      <c r="N346" s="505"/>
      <c r="O346" s="505"/>
      <c r="P346" s="505"/>
      <c r="Q346" s="505"/>
      <c r="R346" s="505"/>
      <c r="S346" s="505"/>
      <c r="T346" s="505"/>
      <c r="U346" s="505"/>
      <c r="V346" s="505"/>
      <c r="W346" s="505"/>
      <c r="X346" s="505"/>
      <c r="Y346" s="505"/>
      <c r="Z346" s="505"/>
      <c r="AA346" s="505"/>
      <c r="AB346" s="505"/>
      <c r="AC346" s="505"/>
      <c r="AD346" s="505"/>
      <c r="AE346" s="505"/>
      <c r="AF346" s="505"/>
      <c r="AG346" s="505"/>
      <c r="AH346" s="505"/>
      <c r="AI346" s="505"/>
      <c r="AJ346" s="505"/>
      <c r="AK346" s="505"/>
      <c r="AL346" s="505"/>
    </row>
    <row r="347" spans="1:38" ht="9.9499999999999993" customHeight="1">
      <c r="A347" s="505"/>
      <c r="B347" s="505"/>
      <c r="C347" s="505"/>
      <c r="D347" s="505"/>
      <c r="E347" s="505"/>
      <c r="F347" s="505"/>
      <c r="G347" s="505"/>
      <c r="H347" s="505"/>
      <c r="I347" s="505"/>
      <c r="J347" s="505"/>
      <c r="K347" s="505"/>
      <c r="L347" s="505"/>
      <c r="M347" s="505"/>
      <c r="N347" s="505"/>
      <c r="O347" s="505"/>
      <c r="P347" s="505"/>
      <c r="Q347" s="505"/>
      <c r="R347" s="505"/>
      <c r="S347" s="505"/>
      <c r="T347" s="505"/>
      <c r="U347" s="505"/>
      <c r="V347" s="505"/>
      <c r="W347" s="505"/>
      <c r="X347" s="505"/>
      <c r="Y347" s="505"/>
      <c r="Z347" s="505"/>
      <c r="AA347" s="505"/>
      <c r="AB347" s="505"/>
      <c r="AC347" s="505"/>
      <c r="AD347" s="505"/>
      <c r="AE347" s="505"/>
      <c r="AF347" s="505"/>
      <c r="AG347" s="505"/>
      <c r="AH347" s="505"/>
      <c r="AI347" s="505"/>
      <c r="AJ347" s="505"/>
      <c r="AK347" s="505"/>
      <c r="AL347" s="505"/>
    </row>
    <row r="348" spans="1:38" ht="9.9499999999999993" customHeight="1">
      <c r="A348" s="505"/>
      <c r="B348" s="505"/>
      <c r="C348" s="505"/>
      <c r="D348" s="505"/>
      <c r="E348" s="505"/>
      <c r="F348" s="505"/>
      <c r="G348" s="505"/>
      <c r="H348" s="505"/>
      <c r="I348" s="505"/>
      <c r="J348" s="505"/>
      <c r="K348" s="505"/>
      <c r="L348" s="505"/>
      <c r="M348" s="505"/>
      <c r="N348" s="505"/>
      <c r="O348" s="505"/>
      <c r="P348" s="505"/>
      <c r="Q348" s="505"/>
      <c r="R348" s="505"/>
      <c r="S348" s="505"/>
      <c r="T348" s="505"/>
      <c r="U348" s="505"/>
      <c r="V348" s="505"/>
      <c r="W348" s="505"/>
      <c r="X348" s="505"/>
      <c r="Y348" s="505"/>
      <c r="Z348" s="505"/>
      <c r="AA348" s="505"/>
      <c r="AB348" s="505"/>
      <c r="AC348" s="505"/>
      <c r="AD348" s="505"/>
      <c r="AE348" s="505"/>
      <c r="AF348" s="505"/>
      <c r="AG348" s="505"/>
      <c r="AH348" s="505"/>
      <c r="AI348" s="505"/>
      <c r="AJ348" s="505"/>
      <c r="AK348" s="505"/>
      <c r="AL348" s="505"/>
    </row>
    <row r="349" spans="1:38" ht="9.9499999999999993" customHeight="1">
      <c r="A349" s="505"/>
      <c r="B349" s="505"/>
      <c r="C349" s="505"/>
      <c r="D349" s="505"/>
      <c r="E349" s="505"/>
      <c r="F349" s="505"/>
      <c r="G349" s="505"/>
      <c r="H349" s="505"/>
      <c r="I349" s="505"/>
      <c r="J349" s="505"/>
      <c r="K349" s="505"/>
      <c r="L349" s="505"/>
      <c r="M349" s="505"/>
      <c r="N349" s="505"/>
      <c r="O349" s="505"/>
      <c r="P349" s="505"/>
      <c r="Q349" s="505"/>
      <c r="R349" s="505"/>
      <c r="S349" s="505"/>
      <c r="T349" s="505"/>
      <c r="U349" s="505"/>
      <c r="V349" s="505"/>
      <c r="W349" s="505"/>
      <c r="X349" s="505"/>
      <c r="Y349" s="505"/>
      <c r="Z349" s="505"/>
      <c r="AA349" s="505"/>
      <c r="AB349" s="505"/>
      <c r="AC349" s="505"/>
      <c r="AD349" s="505"/>
      <c r="AE349" s="505"/>
      <c r="AF349" s="505"/>
      <c r="AG349" s="505"/>
      <c r="AH349" s="505"/>
      <c r="AI349" s="505"/>
      <c r="AJ349" s="505"/>
      <c r="AK349" s="505"/>
      <c r="AL349" s="505"/>
    </row>
    <row r="350" spans="1:38" ht="9.9499999999999993" customHeight="1">
      <c r="A350" s="505"/>
      <c r="B350" s="505"/>
      <c r="C350" s="505"/>
      <c r="D350" s="505"/>
      <c r="E350" s="505"/>
      <c r="F350" s="505"/>
      <c r="G350" s="505"/>
      <c r="H350" s="505"/>
      <c r="I350" s="505"/>
      <c r="J350" s="505"/>
      <c r="K350" s="505"/>
      <c r="L350" s="505"/>
      <c r="M350" s="505"/>
      <c r="N350" s="505"/>
      <c r="O350" s="505"/>
      <c r="P350" s="505"/>
      <c r="Q350" s="505"/>
      <c r="R350" s="505"/>
      <c r="S350" s="505"/>
      <c r="T350" s="505"/>
      <c r="U350" s="505"/>
      <c r="V350" s="505"/>
      <c r="W350" s="505"/>
      <c r="X350" s="505"/>
      <c r="Y350" s="505"/>
      <c r="Z350" s="505"/>
      <c r="AA350" s="505"/>
      <c r="AB350" s="505"/>
      <c r="AC350" s="505"/>
      <c r="AD350" s="505"/>
      <c r="AE350" s="505"/>
      <c r="AF350" s="505"/>
      <c r="AG350" s="505"/>
      <c r="AH350" s="505"/>
      <c r="AI350" s="505"/>
      <c r="AJ350" s="505"/>
      <c r="AK350" s="505"/>
      <c r="AL350" s="505"/>
    </row>
    <row r="351" spans="1:38" ht="9.9499999999999993" customHeight="1">
      <c r="A351" s="505"/>
      <c r="B351" s="505"/>
      <c r="C351" s="505"/>
      <c r="D351" s="505"/>
      <c r="E351" s="505"/>
      <c r="F351" s="505"/>
      <c r="G351" s="505"/>
      <c r="H351" s="505"/>
      <c r="I351" s="505"/>
      <c r="J351" s="505"/>
      <c r="K351" s="505"/>
      <c r="L351" s="505"/>
      <c r="M351" s="505"/>
      <c r="N351" s="505"/>
      <c r="O351" s="505"/>
      <c r="P351" s="505"/>
      <c r="Q351" s="505"/>
      <c r="R351" s="505"/>
      <c r="S351" s="505"/>
      <c r="T351" s="505"/>
      <c r="U351" s="505"/>
      <c r="V351" s="505"/>
      <c r="W351" s="505"/>
      <c r="X351" s="505"/>
      <c r="Y351" s="505"/>
      <c r="Z351" s="505"/>
      <c r="AA351" s="505"/>
      <c r="AB351" s="505"/>
      <c r="AC351" s="505"/>
      <c r="AD351" s="505"/>
      <c r="AE351" s="505"/>
      <c r="AF351" s="505"/>
      <c r="AG351" s="505"/>
      <c r="AH351" s="505"/>
      <c r="AI351" s="505"/>
      <c r="AJ351" s="505"/>
      <c r="AK351" s="505"/>
      <c r="AL351" s="505"/>
    </row>
    <row r="352" spans="1:38" ht="9.9499999999999993" customHeight="1">
      <c r="A352" s="505"/>
      <c r="B352" s="505"/>
      <c r="C352" s="505"/>
      <c r="D352" s="505"/>
      <c r="E352" s="505"/>
      <c r="F352" s="505"/>
      <c r="G352" s="505"/>
      <c r="H352" s="505"/>
      <c r="I352" s="505"/>
      <c r="J352" s="505"/>
      <c r="K352" s="505"/>
      <c r="L352" s="505"/>
      <c r="M352" s="505"/>
      <c r="N352" s="505"/>
      <c r="O352" s="505"/>
      <c r="P352" s="505"/>
      <c r="Q352" s="505"/>
      <c r="R352" s="505"/>
      <c r="S352" s="505"/>
      <c r="T352" s="505"/>
      <c r="U352" s="505"/>
      <c r="V352" s="505"/>
      <c r="W352" s="505"/>
      <c r="X352" s="505"/>
      <c r="Y352" s="505"/>
      <c r="Z352" s="505"/>
      <c r="AA352" s="505"/>
      <c r="AB352" s="505"/>
      <c r="AC352" s="505"/>
      <c r="AD352" s="505"/>
      <c r="AE352" s="505"/>
      <c r="AF352" s="505"/>
      <c r="AG352" s="505"/>
      <c r="AH352" s="505"/>
      <c r="AI352" s="505"/>
      <c r="AJ352" s="505"/>
      <c r="AK352" s="505"/>
      <c r="AL352" s="505"/>
    </row>
    <row r="353" spans="1:38" ht="9.9499999999999993" customHeight="1">
      <c r="A353" s="505"/>
      <c r="B353" s="505"/>
      <c r="C353" s="505"/>
      <c r="D353" s="505"/>
      <c r="E353" s="505"/>
      <c r="F353" s="505"/>
      <c r="G353" s="505"/>
      <c r="H353" s="505"/>
      <c r="I353" s="505"/>
      <c r="J353" s="505"/>
      <c r="K353" s="505"/>
      <c r="L353" s="505"/>
      <c r="M353" s="505"/>
      <c r="N353" s="505"/>
      <c r="O353" s="505"/>
      <c r="P353" s="505"/>
      <c r="Q353" s="505"/>
      <c r="R353" s="505"/>
      <c r="S353" s="505"/>
      <c r="T353" s="505"/>
      <c r="U353" s="505"/>
      <c r="V353" s="505"/>
      <c r="W353" s="505"/>
      <c r="X353" s="505"/>
      <c r="Y353" s="505"/>
      <c r="Z353" s="505"/>
      <c r="AA353" s="505"/>
      <c r="AB353" s="505"/>
      <c r="AC353" s="505"/>
      <c r="AD353" s="505"/>
      <c r="AE353" s="505"/>
      <c r="AF353" s="505"/>
      <c r="AG353" s="505"/>
      <c r="AH353" s="505"/>
      <c r="AI353" s="505"/>
      <c r="AJ353" s="505"/>
      <c r="AK353" s="505"/>
      <c r="AL353" s="505"/>
    </row>
    <row r="354" spans="1:38" ht="9.9499999999999993" customHeight="1">
      <c r="A354" s="505"/>
      <c r="B354" s="505"/>
      <c r="C354" s="505"/>
      <c r="D354" s="505"/>
      <c r="E354" s="505"/>
      <c r="F354" s="505"/>
      <c r="G354" s="505"/>
      <c r="H354" s="505"/>
      <c r="I354" s="505"/>
      <c r="J354" s="505"/>
      <c r="K354" s="505"/>
      <c r="L354" s="505"/>
      <c r="M354" s="505"/>
      <c r="N354" s="505"/>
      <c r="O354" s="505"/>
      <c r="P354" s="505"/>
      <c r="Q354" s="505"/>
      <c r="R354" s="505"/>
      <c r="S354" s="505"/>
      <c r="T354" s="505"/>
      <c r="U354" s="505"/>
      <c r="V354" s="505"/>
      <c r="W354" s="505"/>
      <c r="X354" s="505"/>
      <c r="Y354" s="505"/>
      <c r="Z354" s="505"/>
      <c r="AA354" s="505"/>
      <c r="AB354" s="505"/>
      <c r="AC354" s="505"/>
      <c r="AD354" s="505"/>
      <c r="AE354" s="505"/>
      <c r="AF354" s="505"/>
      <c r="AG354" s="505"/>
      <c r="AH354" s="505"/>
      <c r="AI354" s="505"/>
      <c r="AJ354" s="505"/>
      <c r="AK354" s="505"/>
      <c r="AL354" s="505"/>
    </row>
    <row r="355" spans="1:38" ht="9.9499999999999993" customHeight="1">
      <c r="A355" s="505"/>
      <c r="B355" s="505"/>
      <c r="C355" s="505"/>
      <c r="D355" s="505"/>
      <c r="E355" s="505"/>
      <c r="F355" s="505"/>
      <c r="G355" s="505"/>
      <c r="H355" s="505"/>
      <c r="I355" s="505"/>
      <c r="J355" s="505"/>
      <c r="K355" s="505"/>
      <c r="L355" s="505"/>
      <c r="M355" s="505"/>
      <c r="N355" s="505"/>
      <c r="O355" s="505"/>
      <c r="P355" s="505"/>
      <c r="Q355" s="505"/>
      <c r="R355" s="505"/>
      <c r="S355" s="505"/>
      <c r="T355" s="505"/>
      <c r="U355" s="505"/>
      <c r="V355" s="505"/>
      <c r="W355" s="505"/>
      <c r="X355" s="505"/>
      <c r="Y355" s="505"/>
      <c r="Z355" s="505"/>
      <c r="AA355" s="505"/>
      <c r="AB355" s="505"/>
      <c r="AC355" s="505"/>
      <c r="AD355" s="505"/>
      <c r="AE355" s="505"/>
      <c r="AF355" s="505"/>
      <c r="AG355" s="505"/>
      <c r="AH355" s="505"/>
      <c r="AI355" s="505"/>
      <c r="AJ355" s="505"/>
      <c r="AK355" s="505"/>
      <c r="AL355" s="505"/>
    </row>
    <row r="356" spans="1:38" ht="9.9499999999999993" customHeight="1">
      <c r="A356" s="505"/>
      <c r="B356" s="505"/>
      <c r="C356" s="505"/>
      <c r="D356" s="505"/>
      <c r="E356" s="505"/>
      <c r="F356" s="505"/>
      <c r="G356" s="505"/>
      <c r="H356" s="505"/>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row>
    <row r="357" spans="1:38" ht="9.9499999999999993" customHeight="1">
      <c r="A357" s="505"/>
      <c r="B357" s="505"/>
      <c r="C357" s="505"/>
      <c r="D357" s="505"/>
      <c r="E357" s="505"/>
      <c r="F357" s="505"/>
      <c r="G357" s="505"/>
      <c r="H357" s="505"/>
      <c r="I357" s="505"/>
      <c r="J357" s="505"/>
      <c r="K357" s="505"/>
      <c r="L357" s="505"/>
      <c r="M357" s="505"/>
      <c r="N357" s="505"/>
      <c r="O357" s="505"/>
      <c r="P357" s="505"/>
      <c r="Q357" s="505"/>
      <c r="R357" s="505"/>
      <c r="S357" s="505"/>
      <c r="T357" s="505"/>
      <c r="U357" s="505"/>
      <c r="V357" s="505"/>
      <c r="W357" s="505"/>
      <c r="X357" s="505"/>
      <c r="Y357" s="505"/>
      <c r="Z357" s="505"/>
      <c r="AA357" s="505"/>
      <c r="AB357" s="505"/>
      <c r="AC357" s="505"/>
      <c r="AD357" s="505"/>
      <c r="AE357" s="505"/>
      <c r="AF357" s="505"/>
      <c r="AG357" s="505"/>
      <c r="AH357" s="505"/>
      <c r="AI357" s="505"/>
      <c r="AJ357" s="505"/>
      <c r="AK357" s="505"/>
      <c r="AL357" s="505"/>
    </row>
    <row r="358" spans="1:38" ht="9.9499999999999993" customHeight="1">
      <c r="A358" s="505"/>
      <c r="B358" s="505"/>
      <c r="C358" s="505"/>
      <c r="D358" s="505"/>
      <c r="E358" s="505"/>
      <c r="F358" s="505"/>
      <c r="G358" s="505"/>
      <c r="H358" s="505"/>
      <c r="I358" s="505"/>
      <c r="J358" s="505"/>
      <c r="K358" s="505"/>
      <c r="L358" s="505"/>
      <c r="M358" s="505"/>
      <c r="N358" s="505"/>
      <c r="O358" s="505"/>
      <c r="P358" s="505"/>
      <c r="Q358" s="505"/>
      <c r="R358" s="505"/>
      <c r="S358" s="505"/>
      <c r="T358" s="505"/>
      <c r="U358" s="505"/>
      <c r="V358" s="505"/>
      <c r="W358" s="505"/>
      <c r="X358" s="505"/>
      <c r="Y358" s="505"/>
      <c r="Z358" s="505"/>
      <c r="AA358" s="505"/>
      <c r="AB358" s="505"/>
      <c r="AC358" s="505"/>
      <c r="AD358" s="505"/>
      <c r="AE358" s="505"/>
      <c r="AF358" s="505"/>
      <c r="AG358" s="505"/>
      <c r="AH358" s="505"/>
      <c r="AI358" s="505"/>
      <c r="AJ358" s="505"/>
      <c r="AK358" s="505"/>
      <c r="AL358" s="505"/>
    </row>
    <row r="359" spans="1:38" ht="9.9499999999999993" customHeight="1">
      <c r="A359" s="505"/>
      <c r="B359" s="505"/>
      <c r="C359" s="505"/>
      <c r="D359" s="505"/>
      <c r="E359" s="505"/>
      <c r="F359" s="505"/>
      <c r="G359" s="505"/>
      <c r="H359" s="505"/>
      <c r="I359" s="505"/>
      <c r="J359" s="505"/>
      <c r="K359" s="505"/>
      <c r="L359" s="505"/>
      <c r="M359" s="505"/>
      <c r="N359" s="505"/>
      <c r="O359" s="505"/>
      <c r="P359" s="505"/>
      <c r="Q359" s="505"/>
      <c r="R359" s="505"/>
      <c r="S359" s="505"/>
      <c r="T359" s="505"/>
      <c r="U359" s="505"/>
      <c r="V359" s="505"/>
      <c r="W359" s="505"/>
      <c r="X359" s="505"/>
      <c r="Y359" s="505"/>
      <c r="Z359" s="505"/>
      <c r="AA359" s="505"/>
      <c r="AB359" s="505"/>
      <c r="AC359" s="505"/>
      <c r="AD359" s="505"/>
      <c r="AE359" s="505"/>
      <c r="AF359" s="505"/>
      <c r="AG359" s="505"/>
      <c r="AH359" s="505"/>
      <c r="AI359" s="505"/>
      <c r="AJ359" s="505"/>
      <c r="AK359" s="505"/>
      <c r="AL359" s="505"/>
    </row>
    <row r="360" spans="1:38" ht="9.9499999999999993" customHeight="1">
      <c r="A360" s="505"/>
      <c r="B360" s="505"/>
      <c r="C360" s="505"/>
      <c r="D360" s="505"/>
      <c r="E360" s="505"/>
      <c r="F360" s="505"/>
      <c r="G360" s="505"/>
      <c r="H360" s="505"/>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row>
    <row r="361" spans="1:38" ht="9.9499999999999993" customHeight="1">
      <c r="A361" s="505"/>
      <c r="B361" s="505"/>
      <c r="C361" s="505"/>
      <c r="D361" s="505"/>
      <c r="E361" s="505"/>
      <c r="F361" s="505"/>
      <c r="G361" s="505"/>
      <c r="H361" s="505"/>
      <c r="I361" s="505"/>
      <c r="J361" s="505"/>
      <c r="K361" s="505"/>
      <c r="L361" s="505"/>
      <c r="M361" s="505"/>
      <c r="N361" s="505"/>
      <c r="O361" s="505"/>
      <c r="P361" s="505"/>
      <c r="Q361" s="505"/>
      <c r="R361" s="505"/>
      <c r="S361" s="505"/>
      <c r="T361" s="505"/>
      <c r="U361" s="505"/>
      <c r="V361" s="505"/>
      <c r="W361" s="505"/>
      <c r="X361" s="505"/>
      <c r="Y361" s="505"/>
      <c r="Z361" s="505"/>
      <c r="AA361" s="505"/>
      <c r="AB361" s="505"/>
      <c r="AC361" s="505"/>
      <c r="AD361" s="505"/>
      <c r="AE361" s="505"/>
      <c r="AF361" s="505"/>
      <c r="AG361" s="505"/>
      <c r="AH361" s="505"/>
      <c r="AI361" s="505"/>
      <c r="AJ361" s="505"/>
      <c r="AK361" s="505"/>
      <c r="AL361" s="505"/>
    </row>
    <row r="362" spans="1:38" ht="9.9499999999999993" customHeight="1">
      <c r="A362" s="505"/>
      <c r="B362" s="505"/>
      <c r="C362" s="505"/>
      <c r="D362" s="505"/>
      <c r="E362" s="505"/>
      <c r="F362" s="505"/>
      <c r="G362" s="505"/>
      <c r="H362" s="505"/>
      <c r="I362" s="505"/>
      <c r="J362" s="505"/>
      <c r="K362" s="505"/>
      <c r="L362" s="505"/>
      <c r="M362" s="505"/>
      <c r="N362" s="505"/>
      <c r="O362" s="505"/>
      <c r="P362" s="505"/>
      <c r="Q362" s="505"/>
      <c r="R362" s="505"/>
      <c r="S362" s="505"/>
      <c r="T362" s="505"/>
      <c r="U362" s="505"/>
      <c r="V362" s="505"/>
      <c r="W362" s="505"/>
      <c r="X362" s="505"/>
      <c r="Y362" s="505"/>
      <c r="Z362" s="505"/>
      <c r="AA362" s="505"/>
      <c r="AB362" s="505"/>
      <c r="AC362" s="505"/>
      <c r="AD362" s="505"/>
      <c r="AE362" s="505"/>
      <c r="AF362" s="505"/>
      <c r="AG362" s="505"/>
      <c r="AH362" s="505"/>
      <c r="AI362" s="505"/>
      <c r="AJ362" s="505"/>
      <c r="AK362" s="505"/>
      <c r="AL362" s="505"/>
    </row>
    <row r="363" spans="1:38" ht="9.9499999999999993" customHeight="1">
      <c r="A363" s="505"/>
      <c r="B363" s="505"/>
      <c r="C363" s="505"/>
      <c r="D363" s="505"/>
      <c r="E363" s="505"/>
      <c r="F363" s="505"/>
      <c r="G363" s="505"/>
      <c r="H363" s="505"/>
      <c r="I363" s="505"/>
      <c r="J363" s="505"/>
      <c r="K363" s="505"/>
      <c r="L363" s="505"/>
      <c r="M363" s="505"/>
      <c r="N363" s="505"/>
      <c r="O363" s="505"/>
      <c r="P363" s="505"/>
      <c r="Q363" s="505"/>
      <c r="R363" s="505"/>
      <c r="S363" s="505"/>
      <c r="T363" s="505"/>
      <c r="U363" s="505"/>
      <c r="V363" s="505"/>
      <c r="W363" s="505"/>
      <c r="X363" s="505"/>
      <c r="Y363" s="505"/>
      <c r="Z363" s="505"/>
      <c r="AA363" s="505"/>
      <c r="AB363" s="505"/>
      <c r="AC363" s="505"/>
      <c r="AD363" s="505"/>
      <c r="AE363" s="505"/>
      <c r="AF363" s="505"/>
      <c r="AG363" s="505"/>
      <c r="AH363" s="505"/>
      <c r="AI363" s="505"/>
      <c r="AJ363" s="505"/>
      <c r="AK363" s="505"/>
      <c r="AL363" s="505"/>
    </row>
    <row r="364" spans="1:38" ht="9.9499999999999993" customHeight="1">
      <c r="A364" s="505"/>
      <c r="B364" s="505"/>
      <c r="C364" s="505"/>
      <c r="D364" s="505"/>
      <c r="E364" s="505"/>
      <c r="F364" s="505"/>
      <c r="G364" s="505"/>
      <c r="H364" s="505"/>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row>
    <row r="365" spans="1:38" ht="9.9499999999999993" customHeight="1">
      <c r="A365" s="505"/>
      <c r="B365" s="505"/>
      <c r="C365" s="505"/>
      <c r="D365" s="505"/>
      <c r="E365" s="505"/>
      <c r="F365" s="505"/>
      <c r="G365" s="505"/>
      <c r="H365" s="505"/>
      <c r="I365" s="505"/>
      <c r="J365" s="505"/>
      <c r="K365" s="505"/>
      <c r="L365" s="505"/>
      <c r="M365" s="505"/>
      <c r="N365" s="505"/>
      <c r="O365" s="505"/>
      <c r="P365" s="505"/>
      <c r="Q365" s="505"/>
      <c r="R365" s="505"/>
      <c r="S365" s="505"/>
      <c r="T365" s="505"/>
      <c r="U365" s="505"/>
      <c r="V365" s="505"/>
      <c r="W365" s="505"/>
      <c r="X365" s="505"/>
      <c r="Y365" s="505"/>
      <c r="Z365" s="505"/>
      <c r="AA365" s="505"/>
      <c r="AB365" s="505"/>
      <c r="AC365" s="505"/>
      <c r="AD365" s="505"/>
      <c r="AE365" s="505"/>
      <c r="AF365" s="505"/>
      <c r="AG365" s="505"/>
      <c r="AH365" s="505"/>
      <c r="AI365" s="505"/>
      <c r="AJ365" s="505"/>
      <c r="AK365" s="505"/>
      <c r="AL365" s="505"/>
    </row>
    <row r="366" spans="1:38" ht="9.9499999999999993" customHeight="1">
      <c r="A366" s="505"/>
      <c r="B366" s="505"/>
      <c r="C366" s="505"/>
      <c r="D366" s="505"/>
      <c r="E366" s="505"/>
      <c r="F366" s="505"/>
      <c r="G366" s="505"/>
      <c r="H366" s="505"/>
      <c r="I366" s="505"/>
      <c r="J366" s="505"/>
      <c r="K366" s="505"/>
      <c r="L366" s="505"/>
      <c r="M366" s="505"/>
      <c r="N366" s="505"/>
      <c r="O366" s="505"/>
      <c r="P366" s="505"/>
      <c r="Q366" s="505"/>
      <c r="R366" s="505"/>
      <c r="S366" s="505"/>
      <c r="T366" s="505"/>
      <c r="U366" s="505"/>
      <c r="V366" s="505"/>
      <c r="W366" s="505"/>
      <c r="X366" s="505"/>
      <c r="Y366" s="505"/>
      <c r="Z366" s="505"/>
      <c r="AA366" s="505"/>
      <c r="AB366" s="505"/>
      <c r="AC366" s="505"/>
      <c r="AD366" s="505"/>
      <c r="AE366" s="505"/>
      <c r="AF366" s="505"/>
      <c r="AG366" s="505"/>
      <c r="AH366" s="505"/>
      <c r="AI366" s="505"/>
      <c r="AJ366" s="505"/>
      <c r="AK366" s="505"/>
      <c r="AL366" s="505"/>
    </row>
    <row r="367" spans="1:38" ht="9.9499999999999993" customHeight="1">
      <c r="A367" s="505"/>
      <c r="B367" s="505"/>
      <c r="C367" s="505"/>
      <c r="D367" s="505"/>
      <c r="E367" s="505"/>
      <c r="F367" s="505"/>
      <c r="G367" s="505"/>
      <c r="H367" s="505"/>
      <c r="I367" s="505"/>
      <c r="J367" s="505"/>
      <c r="K367" s="505"/>
      <c r="L367" s="505"/>
      <c r="M367" s="505"/>
      <c r="N367" s="505"/>
      <c r="O367" s="505"/>
      <c r="P367" s="505"/>
      <c r="Q367" s="505"/>
      <c r="R367" s="505"/>
      <c r="S367" s="505"/>
      <c r="T367" s="505"/>
      <c r="U367" s="505"/>
      <c r="V367" s="505"/>
      <c r="W367" s="505"/>
      <c r="X367" s="505"/>
      <c r="Y367" s="505"/>
      <c r="Z367" s="505"/>
      <c r="AA367" s="505"/>
      <c r="AB367" s="505"/>
      <c r="AC367" s="505"/>
      <c r="AD367" s="505"/>
      <c r="AE367" s="505"/>
      <c r="AF367" s="505"/>
      <c r="AG367" s="505"/>
      <c r="AH367" s="505"/>
      <c r="AI367" s="505"/>
      <c r="AJ367" s="505"/>
      <c r="AK367" s="505"/>
      <c r="AL367" s="505"/>
    </row>
    <row r="368" spans="1:38" ht="9.9499999999999993" customHeight="1">
      <c r="A368" s="505"/>
      <c r="B368" s="505"/>
      <c r="C368" s="505"/>
      <c r="D368" s="505"/>
      <c r="E368" s="505"/>
      <c r="F368" s="505"/>
      <c r="G368" s="505"/>
      <c r="H368" s="505"/>
      <c r="I368" s="505"/>
      <c r="J368" s="505"/>
      <c r="K368" s="505"/>
      <c r="L368" s="505"/>
      <c r="M368" s="505"/>
      <c r="N368" s="505"/>
      <c r="O368" s="505"/>
      <c r="P368" s="505"/>
      <c r="Q368" s="505"/>
      <c r="R368" s="505"/>
      <c r="S368" s="505"/>
      <c r="T368" s="505"/>
      <c r="U368" s="505"/>
      <c r="V368" s="505"/>
      <c r="W368" s="505"/>
      <c r="X368" s="505"/>
      <c r="Y368" s="505"/>
      <c r="Z368" s="505"/>
      <c r="AA368" s="505"/>
      <c r="AB368" s="505"/>
      <c r="AC368" s="505"/>
      <c r="AD368" s="505"/>
      <c r="AE368" s="505"/>
      <c r="AF368" s="505"/>
      <c r="AG368" s="505"/>
      <c r="AH368" s="505"/>
      <c r="AI368" s="505"/>
      <c r="AJ368" s="505"/>
      <c r="AK368" s="505"/>
      <c r="AL368" s="505"/>
    </row>
    <row r="369" spans="1:38" ht="9.9499999999999993" customHeight="1">
      <c r="A369" s="505"/>
      <c r="B369" s="505"/>
      <c r="C369" s="505"/>
      <c r="D369" s="505"/>
      <c r="E369" s="505"/>
      <c r="F369" s="505"/>
      <c r="G369" s="505"/>
      <c r="H369" s="505"/>
      <c r="I369" s="505"/>
      <c r="J369" s="505"/>
      <c r="K369" s="505"/>
      <c r="L369" s="505"/>
      <c r="M369" s="505"/>
      <c r="N369" s="505"/>
      <c r="O369" s="505"/>
      <c r="P369" s="505"/>
      <c r="Q369" s="505"/>
      <c r="R369" s="505"/>
      <c r="S369" s="505"/>
      <c r="T369" s="505"/>
      <c r="U369" s="505"/>
      <c r="V369" s="505"/>
      <c r="W369" s="505"/>
      <c r="X369" s="505"/>
      <c r="Y369" s="505"/>
      <c r="Z369" s="505"/>
      <c r="AA369" s="505"/>
      <c r="AB369" s="505"/>
      <c r="AC369" s="505"/>
      <c r="AD369" s="505"/>
      <c r="AE369" s="505"/>
      <c r="AF369" s="505"/>
      <c r="AG369" s="505"/>
      <c r="AH369" s="505"/>
      <c r="AI369" s="505"/>
      <c r="AJ369" s="505"/>
      <c r="AK369" s="505"/>
      <c r="AL369" s="505"/>
    </row>
    <row r="370" spans="1:38" ht="9.9499999999999993" customHeight="1">
      <c r="A370" s="505"/>
      <c r="B370" s="505"/>
      <c r="C370" s="505"/>
      <c r="D370" s="505"/>
      <c r="E370" s="505"/>
      <c r="F370" s="505"/>
      <c r="G370" s="505"/>
      <c r="H370" s="505"/>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row>
    <row r="371" spans="1:38" ht="9.9499999999999993" customHeight="1">
      <c r="A371" s="505"/>
      <c r="B371" s="505"/>
      <c r="C371" s="505"/>
      <c r="D371" s="505"/>
      <c r="E371" s="505"/>
      <c r="F371" s="505"/>
      <c r="G371" s="505"/>
      <c r="H371" s="505"/>
      <c r="I371" s="505"/>
      <c r="J371" s="505"/>
      <c r="K371" s="505"/>
      <c r="L371" s="505"/>
      <c r="M371" s="505"/>
      <c r="N371" s="505"/>
      <c r="O371" s="505"/>
      <c r="P371" s="505"/>
      <c r="Q371" s="505"/>
      <c r="R371" s="505"/>
      <c r="S371" s="505"/>
      <c r="T371" s="505"/>
      <c r="U371" s="505"/>
      <c r="V371" s="505"/>
      <c r="W371" s="505"/>
      <c r="X371" s="505"/>
      <c r="Y371" s="505"/>
      <c r="Z371" s="505"/>
      <c r="AA371" s="505"/>
      <c r="AB371" s="505"/>
      <c r="AC371" s="505"/>
      <c r="AD371" s="505"/>
      <c r="AE371" s="505"/>
      <c r="AF371" s="505"/>
      <c r="AG371" s="505"/>
      <c r="AH371" s="505"/>
      <c r="AI371" s="505"/>
      <c r="AJ371" s="505"/>
      <c r="AK371" s="505"/>
      <c r="AL371" s="50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3" tint="0.39997558519241921"/>
  </sheetPr>
  <dimension ref="A1:BD451"/>
  <sheetViews>
    <sheetView view="pageBreakPreview" topLeftCell="A100" zoomScaleNormal="100" zoomScaleSheetLayoutView="100" zoomScalePageLayoutView="70" workbookViewId="0">
      <selection activeCell="I110" sqref="I110"/>
    </sheetView>
  </sheetViews>
  <sheetFormatPr baseColWidth="10" defaultColWidth="12" defaultRowHeight="12.75"/>
  <cols>
    <col min="1" max="1" width="24.1640625" style="1" customWidth="1"/>
    <col min="2" max="3" width="15.6640625" style="1" customWidth="1"/>
    <col min="4" max="4" width="15.5" style="1" customWidth="1"/>
    <col min="5" max="5" width="13.83203125" style="1" customWidth="1"/>
    <col min="6" max="6" width="17.33203125" style="1" customWidth="1"/>
    <col min="7" max="7" width="12.1640625" style="1" bestFit="1" customWidth="1"/>
    <col min="8" max="8" width="16.5" style="4" customWidth="1"/>
    <col min="9" max="9" width="14.33203125" style="4" customWidth="1"/>
    <col min="10" max="14" width="12" style="4" customWidth="1"/>
    <col min="15" max="15" width="12" style="1" customWidth="1"/>
    <col min="16" max="16" width="29" style="1" bestFit="1" customWidth="1"/>
    <col min="17" max="17" width="15" style="1" bestFit="1" customWidth="1"/>
    <col min="18" max="18" width="20.6640625" style="1" bestFit="1" customWidth="1"/>
    <col min="19" max="19" width="12" style="1" customWidth="1"/>
    <col min="20" max="16384" width="12" style="1"/>
  </cols>
  <sheetData>
    <row r="1" spans="1:36" ht="30" customHeight="1">
      <c r="A1" s="3008" t="s">
        <v>7</v>
      </c>
      <c r="B1" s="3009"/>
      <c r="C1" s="3009"/>
      <c r="D1" s="3009"/>
      <c r="E1" s="3009"/>
      <c r="F1" s="3009"/>
      <c r="G1" s="3010"/>
    </row>
    <row r="2" spans="1:36" s="3" customFormat="1" ht="24" customHeight="1">
      <c r="A2" s="1395" t="s">
        <v>18</v>
      </c>
      <c r="B2" s="3014" t="s">
        <v>443</v>
      </c>
      <c r="C2" s="3015"/>
      <c r="D2" s="3015"/>
      <c r="E2" s="3015"/>
      <c r="F2" s="3016"/>
      <c r="G2" s="811" t="s">
        <v>389</v>
      </c>
      <c r="H2" s="62"/>
      <c r="I2" s="62"/>
      <c r="J2" s="62"/>
      <c r="K2" s="62"/>
      <c r="L2" s="62"/>
      <c r="M2" s="62"/>
      <c r="N2" s="62"/>
    </row>
    <row r="3" spans="1:36" s="3" customFormat="1" ht="24" customHeight="1">
      <c r="A3" s="1395" t="s">
        <v>17</v>
      </c>
      <c r="B3" s="3017" t="s">
        <v>656</v>
      </c>
      <c r="C3" s="3018"/>
      <c r="D3" s="3018"/>
      <c r="E3" s="3018"/>
      <c r="F3" s="3018"/>
      <c r="G3" s="3019"/>
      <c r="H3" s="62"/>
      <c r="I3" s="62"/>
      <c r="J3" s="62"/>
      <c r="K3" s="62"/>
      <c r="L3" s="62"/>
      <c r="M3" s="62"/>
      <c r="N3" s="62"/>
    </row>
    <row r="4" spans="1:36" s="3" customFormat="1" ht="24" customHeight="1">
      <c r="A4" s="1395" t="s">
        <v>8</v>
      </c>
      <c r="B4" s="3017" t="s">
        <v>218</v>
      </c>
      <c r="C4" s="3018"/>
      <c r="D4" s="3018"/>
      <c r="E4" s="3018"/>
      <c r="F4" s="3018"/>
      <c r="G4" s="3019"/>
      <c r="H4" s="62"/>
      <c r="I4" s="62"/>
      <c r="J4" s="62"/>
      <c r="K4" s="62"/>
      <c r="L4" s="62"/>
      <c r="M4" s="62"/>
      <c r="N4" s="62"/>
    </row>
    <row r="5" spans="1:36" s="3" customFormat="1" ht="24" customHeight="1">
      <c r="A5" s="1395" t="s">
        <v>11</v>
      </c>
      <c r="B5" s="3017" t="s">
        <v>219</v>
      </c>
      <c r="C5" s="3018"/>
      <c r="D5" s="3018"/>
      <c r="E5" s="3018"/>
      <c r="F5" s="3018"/>
      <c r="G5" s="3019"/>
      <c r="H5" s="62"/>
      <c r="I5" s="62"/>
      <c r="J5" s="72"/>
      <c r="K5" s="73"/>
      <c r="L5" s="4"/>
      <c r="M5" s="72"/>
      <c r="N5" s="62"/>
    </row>
    <row r="6" spans="1:36" s="3" customFormat="1" ht="24" customHeight="1">
      <c r="A6" s="1395" t="s">
        <v>16</v>
      </c>
      <c r="B6" s="3017" t="s">
        <v>12</v>
      </c>
      <c r="C6" s="3018"/>
      <c r="D6" s="3018"/>
      <c r="E6" s="3018"/>
      <c r="F6" s="3018"/>
      <c r="G6" s="3019"/>
      <c r="H6" s="62"/>
      <c r="I6" s="62"/>
      <c r="J6" s="62"/>
      <c r="K6" s="62"/>
      <c r="L6" s="62"/>
      <c r="M6" s="62"/>
      <c r="N6" s="62"/>
    </row>
    <row r="7" spans="1:36" s="3" customFormat="1" ht="24" customHeight="1">
      <c r="A7" s="1395" t="s">
        <v>9</v>
      </c>
      <c r="B7" s="3017" t="s">
        <v>224</v>
      </c>
      <c r="C7" s="3018"/>
      <c r="D7" s="3018"/>
      <c r="E7" s="3018"/>
      <c r="F7" s="3018"/>
      <c r="G7" s="3019"/>
      <c r="H7" s="62"/>
      <c r="I7" s="62"/>
      <c r="J7" s="62"/>
      <c r="K7" s="62"/>
      <c r="L7" s="62"/>
      <c r="M7" s="62"/>
      <c r="N7" s="62"/>
      <c r="AJ7" s="37"/>
    </row>
    <row r="8" spans="1:36" s="3" customFormat="1" ht="24" customHeight="1">
      <c r="A8" s="1395" t="s">
        <v>21</v>
      </c>
      <c r="B8" s="3011"/>
      <c r="C8" s="3012"/>
      <c r="D8" s="3012"/>
      <c r="E8" s="3012"/>
      <c r="F8" s="3012"/>
      <c r="G8" s="3013"/>
      <c r="H8" s="62"/>
      <c r="I8" s="62"/>
      <c r="J8" s="62"/>
      <c r="K8" s="62"/>
      <c r="L8" s="62"/>
      <c r="M8" s="62"/>
      <c r="N8" s="62"/>
    </row>
    <row r="9" spans="1:36" ht="13.5" thickBot="1">
      <c r="A9" s="812"/>
      <c r="B9" s="1258"/>
      <c r="C9" s="1258"/>
      <c r="D9" s="1258"/>
      <c r="E9" s="1258"/>
      <c r="F9" s="1258"/>
      <c r="G9" s="813"/>
    </row>
    <row r="10" spans="1:36" s="4" customFormat="1" ht="52.5" customHeight="1" thickBot="1">
      <c r="A10" s="180" t="s">
        <v>221</v>
      </c>
      <c r="B10" s="200" t="s">
        <v>204</v>
      </c>
      <c r="C10" s="200" t="s">
        <v>205</v>
      </c>
      <c r="D10" s="200" t="s">
        <v>206</v>
      </c>
      <c r="E10" s="200" t="s">
        <v>207</v>
      </c>
      <c r="F10" s="200" t="s">
        <v>208</v>
      </c>
      <c r="G10" s="181" t="s">
        <v>214</v>
      </c>
    </row>
    <row r="11" spans="1:36" hidden="1">
      <c r="A11" s="198">
        <v>40544</v>
      </c>
      <c r="B11" s="199">
        <v>65232</v>
      </c>
      <c r="C11" s="203">
        <v>143335</v>
      </c>
      <c r="D11" s="203">
        <v>19731</v>
      </c>
      <c r="E11" s="203">
        <v>942</v>
      </c>
      <c r="F11" s="203">
        <v>290</v>
      </c>
      <c r="G11" s="212">
        <f t="shared" ref="G11:G21" si="0">SUM(B11:F11)</f>
        <v>229530</v>
      </c>
    </row>
    <row r="12" spans="1:36" hidden="1">
      <c r="A12" s="195">
        <v>40575</v>
      </c>
      <c r="B12" s="192">
        <v>67512</v>
      </c>
      <c r="C12" s="193">
        <v>136680</v>
      </c>
      <c r="D12" s="193">
        <v>18673</v>
      </c>
      <c r="E12" s="193">
        <v>0</v>
      </c>
      <c r="F12" s="193">
        <v>1510</v>
      </c>
      <c r="G12" s="212">
        <f t="shared" si="0"/>
        <v>224375</v>
      </c>
    </row>
    <row r="13" spans="1:36" hidden="1">
      <c r="A13" s="195">
        <v>40603</v>
      </c>
      <c r="B13" s="192">
        <v>74657</v>
      </c>
      <c r="C13" s="193">
        <v>156360</v>
      </c>
      <c r="D13" s="193">
        <v>22744</v>
      </c>
      <c r="E13" s="193">
        <v>2162.1426684280059</v>
      </c>
      <c r="F13" s="193">
        <v>0</v>
      </c>
      <c r="G13" s="212">
        <f t="shared" si="0"/>
        <v>255923.14266842802</v>
      </c>
    </row>
    <row r="14" spans="1:36" hidden="1">
      <c r="A14" s="195">
        <v>40634</v>
      </c>
      <c r="B14" s="192">
        <v>83691</v>
      </c>
      <c r="C14" s="193">
        <v>157020</v>
      </c>
      <c r="D14" s="193">
        <v>20989</v>
      </c>
      <c r="E14" s="193">
        <v>1774.21</v>
      </c>
      <c r="F14" s="193">
        <v>0</v>
      </c>
      <c r="G14" s="212">
        <f t="shared" si="0"/>
        <v>263474.21000000002</v>
      </c>
    </row>
    <row r="15" spans="1:36" hidden="1">
      <c r="A15" s="195">
        <v>40664</v>
      </c>
      <c r="B15" s="192">
        <v>50863</v>
      </c>
      <c r="C15" s="193">
        <v>160453</v>
      </c>
      <c r="D15" s="193">
        <v>21847</v>
      </c>
      <c r="E15" s="193">
        <v>1470</v>
      </c>
      <c r="F15" s="193">
        <v>0</v>
      </c>
      <c r="G15" s="212">
        <f t="shared" si="0"/>
        <v>234633</v>
      </c>
    </row>
    <row r="16" spans="1:36" hidden="1">
      <c r="A16" s="195">
        <v>40695</v>
      </c>
      <c r="B16" s="192">
        <v>40412</v>
      </c>
      <c r="C16" s="193">
        <v>142218</v>
      </c>
      <c r="D16" s="193">
        <v>19706</v>
      </c>
      <c r="E16" s="193">
        <v>1491</v>
      </c>
      <c r="F16" s="193">
        <v>0</v>
      </c>
      <c r="G16" s="212">
        <f t="shared" si="0"/>
        <v>203827</v>
      </c>
    </row>
    <row r="17" spans="1:7" hidden="1">
      <c r="A17" s="196">
        <v>40725</v>
      </c>
      <c r="B17" s="186">
        <v>33751</v>
      </c>
      <c r="C17" s="187">
        <v>134029</v>
      </c>
      <c r="D17" s="187">
        <v>18773</v>
      </c>
      <c r="E17" s="187">
        <v>1738</v>
      </c>
      <c r="F17" s="187">
        <v>0</v>
      </c>
      <c r="G17" s="212">
        <f t="shared" si="0"/>
        <v>188291</v>
      </c>
    </row>
    <row r="18" spans="1:7" hidden="1">
      <c r="A18" s="196">
        <v>40756</v>
      </c>
      <c r="B18" s="186">
        <v>30265</v>
      </c>
      <c r="C18" s="187">
        <v>126027</v>
      </c>
      <c r="D18" s="187">
        <v>17841</v>
      </c>
      <c r="E18" s="187">
        <v>1274</v>
      </c>
      <c r="F18" s="187">
        <v>0</v>
      </c>
      <c r="G18" s="212">
        <f t="shared" si="0"/>
        <v>175407</v>
      </c>
    </row>
    <row r="19" spans="1:7" hidden="1">
      <c r="A19" s="196">
        <v>40787</v>
      </c>
      <c r="B19" s="186">
        <v>34717</v>
      </c>
      <c r="C19" s="187">
        <v>119160</v>
      </c>
      <c r="D19" s="187">
        <v>16985</v>
      </c>
      <c r="E19" s="187">
        <v>1782</v>
      </c>
      <c r="F19" s="187">
        <v>0</v>
      </c>
      <c r="G19" s="212">
        <f t="shared" si="0"/>
        <v>172644</v>
      </c>
    </row>
    <row r="20" spans="1:7" hidden="1">
      <c r="A20" s="196">
        <v>40817</v>
      </c>
      <c r="B20" s="186">
        <v>37852</v>
      </c>
      <c r="C20" s="187">
        <v>125582</v>
      </c>
      <c r="D20" s="187">
        <v>18695</v>
      </c>
      <c r="E20" s="187">
        <v>1922</v>
      </c>
      <c r="F20" s="187">
        <v>0</v>
      </c>
      <c r="G20" s="212">
        <f t="shared" si="0"/>
        <v>184051</v>
      </c>
    </row>
    <row r="21" spans="1:7" hidden="1">
      <c r="A21" s="196">
        <v>40848</v>
      </c>
      <c r="B21" s="186">
        <v>37425</v>
      </c>
      <c r="C21" s="187">
        <v>121165</v>
      </c>
      <c r="D21" s="187">
        <v>18453</v>
      </c>
      <c r="E21" s="187">
        <v>1872</v>
      </c>
      <c r="F21" s="187">
        <v>0</v>
      </c>
      <c r="G21" s="212">
        <f t="shared" si="0"/>
        <v>178915</v>
      </c>
    </row>
    <row r="22" spans="1:7" hidden="1">
      <c r="A22" s="196">
        <v>40878</v>
      </c>
      <c r="B22" s="186">
        <v>58267</v>
      </c>
      <c r="C22" s="187">
        <v>142021</v>
      </c>
      <c r="D22" s="187">
        <v>20856</v>
      </c>
      <c r="E22" s="187">
        <v>1194</v>
      </c>
      <c r="F22" s="187">
        <v>1154</v>
      </c>
      <c r="G22" s="212">
        <f>SUM(B22:E22)</f>
        <v>222338</v>
      </c>
    </row>
    <row r="23" spans="1:7" hidden="1">
      <c r="A23" s="888" t="s">
        <v>6</v>
      </c>
      <c r="B23" s="868">
        <f>SUM(B11:B22)</f>
        <v>614644</v>
      </c>
      <c r="C23" s="868">
        <f>SUM(C11:C22)</f>
        <v>1664050</v>
      </c>
      <c r="D23" s="868">
        <f>SUM(D11:D22)</f>
        <v>235293</v>
      </c>
      <c r="E23" s="868">
        <f>SUM(E11:E22)</f>
        <v>17621.352668428008</v>
      </c>
      <c r="F23" s="868">
        <f>SUM(F11:F22)</f>
        <v>2954</v>
      </c>
      <c r="G23" s="889">
        <f>SUM(B23:E23)</f>
        <v>2531608.3526684279</v>
      </c>
    </row>
    <row r="24" spans="1:7" hidden="1">
      <c r="A24" s="890">
        <v>40909</v>
      </c>
      <c r="B24" s="868">
        <v>76250</v>
      </c>
      <c r="C24" s="868">
        <v>162270</v>
      </c>
      <c r="D24" s="868">
        <v>23462</v>
      </c>
      <c r="E24" s="868">
        <v>0</v>
      </c>
      <c r="F24" s="868">
        <v>2556</v>
      </c>
      <c r="G24" s="889">
        <f t="shared" ref="G24:G31" si="1">SUM(B24:F24)</f>
        <v>264538</v>
      </c>
    </row>
    <row r="25" spans="1:7" hidden="1">
      <c r="A25" s="890">
        <v>40940</v>
      </c>
      <c r="B25" s="868">
        <v>78924</v>
      </c>
      <c r="C25" s="868">
        <v>146252</v>
      </c>
      <c r="D25" s="868">
        <v>22383</v>
      </c>
      <c r="E25" s="868">
        <v>1381</v>
      </c>
      <c r="F25" s="868">
        <v>623</v>
      </c>
      <c r="G25" s="889">
        <f t="shared" si="1"/>
        <v>249563</v>
      </c>
    </row>
    <row r="26" spans="1:7" hidden="1">
      <c r="A26" s="890">
        <v>40969</v>
      </c>
      <c r="B26" s="868">
        <v>81578</v>
      </c>
      <c r="C26" s="868">
        <v>170985</v>
      </c>
      <c r="D26" s="868">
        <v>27610</v>
      </c>
      <c r="E26" s="868">
        <v>1125</v>
      </c>
      <c r="F26" s="868">
        <v>1640</v>
      </c>
      <c r="G26" s="889">
        <f t="shared" si="1"/>
        <v>282938</v>
      </c>
    </row>
    <row r="27" spans="1:7" hidden="1">
      <c r="A27" s="890">
        <v>41000</v>
      </c>
      <c r="B27" s="868">
        <v>89558</v>
      </c>
      <c r="C27" s="868">
        <v>169570</v>
      </c>
      <c r="D27" s="868">
        <v>26147</v>
      </c>
      <c r="E27" s="868">
        <v>1866</v>
      </c>
      <c r="F27" s="868">
        <v>1021</v>
      </c>
      <c r="G27" s="889">
        <f t="shared" si="1"/>
        <v>288162</v>
      </c>
    </row>
    <row r="28" spans="1:7" hidden="1">
      <c r="A28" s="890">
        <v>41030</v>
      </c>
      <c r="B28" s="868">
        <v>86153</v>
      </c>
      <c r="C28" s="868">
        <v>170413</v>
      </c>
      <c r="D28" s="868">
        <v>26895</v>
      </c>
      <c r="E28" s="868">
        <v>2339</v>
      </c>
      <c r="F28" s="868">
        <v>620</v>
      </c>
      <c r="G28" s="889">
        <f t="shared" si="1"/>
        <v>286420</v>
      </c>
    </row>
    <row r="29" spans="1:7" hidden="1">
      <c r="A29" s="890">
        <v>41061</v>
      </c>
      <c r="B29" s="868">
        <v>76273</v>
      </c>
      <c r="C29" s="868">
        <v>150385</v>
      </c>
      <c r="D29" s="868">
        <v>24835</v>
      </c>
      <c r="E29" s="868">
        <v>2016.3</v>
      </c>
      <c r="F29" s="868">
        <v>710.09999999999991</v>
      </c>
      <c r="G29" s="889">
        <f t="shared" si="1"/>
        <v>254219.4</v>
      </c>
    </row>
    <row r="30" spans="1:7" hidden="1">
      <c r="A30" s="891">
        <v>41091</v>
      </c>
      <c r="B30" s="869">
        <v>58021</v>
      </c>
      <c r="C30" s="869">
        <v>139975</v>
      </c>
      <c r="D30" s="869">
        <v>22187</v>
      </c>
      <c r="E30" s="869">
        <v>2056</v>
      </c>
      <c r="F30" s="869">
        <v>514</v>
      </c>
      <c r="G30" s="889">
        <f t="shared" si="1"/>
        <v>222753</v>
      </c>
    </row>
    <row r="31" spans="1:7" hidden="1">
      <c r="A31" s="891">
        <v>41122</v>
      </c>
      <c r="B31" s="869">
        <v>44494</v>
      </c>
      <c r="C31" s="869">
        <v>128771</v>
      </c>
      <c r="D31" s="869">
        <v>20071</v>
      </c>
      <c r="E31" s="869">
        <v>2102</v>
      </c>
      <c r="F31" s="869">
        <v>441</v>
      </c>
      <c r="G31" s="889">
        <f t="shared" si="1"/>
        <v>195879</v>
      </c>
    </row>
    <row r="32" spans="1:7" hidden="1">
      <c r="A32" s="891">
        <v>41153</v>
      </c>
      <c r="B32" s="869">
        <v>43300</v>
      </c>
      <c r="C32" s="869">
        <v>122716</v>
      </c>
      <c r="D32" s="869">
        <v>18206</v>
      </c>
      <c r="E32" s="869">
        <v>2618</v>
      </c>
      <c r="F32" s="869">
        <v>0</v>
      </c>
      <c r="G32" s="889">
        <f>SUM(B32:E32)</f>
        <v>186840</v>
      </c>
    </row>
    <row r="33" spans="1:56" hidden="1">
      <c r="A33" s="891">
        <v>41183</v>
      </c>
      <c r="B33" s="869">
        <v>54427</v>
      </c>
      <c r="C33" s="869">
        <v>129695</v>
      </c>
      <c r="D33" s="869">
        <v>19002</v>
      </c>
      <c r="E33" s="869">
        <v>2751</v>
      </c>
      <c r="F33" s="869">
        <v>0</v>
      </c>
      <c r="G33" s="889">
        <f>SUM(B33:E33)</f>
        <v>205875</v>
      </c>
    </row>
    <row r="34" spans="1:56" hidden="1">
      <c r="A34" s="891">
        <v>41214</v>
      </c>
      <c r="B34" s="869">
        <v>52318</v>
      </c>
      <c r="C34" s="869">
        <v>128338</v>
      </c>
      <c r="D34" s="869">
        <v>19013</v>
      </c>
      <c r="E34" s="869">
        <v>2626</v>
      </c>
      <c r="F34" s="869">
        <v>0</v>
      </c>
      <c r="G34" s="889">
        <f>SUM(B34:E34)</f>
        <v>202295</v>
      </c>
    </row>
    <row r="35" spans="1:56" s="4" customFormat="1" hidden="1">
      <c r="A35" s="891">
        <v>41244</v>
      </c>
      <c r="B35" s="869">
        <v>62938</v>
      </c>
      <c r="C35" s="869">
        <v>137161</v>
      </c>
      <c r="D35" s="869">
        <v>21356</v>
      </c>
      <c r="E35" s="869">
        <v>2699</v>
      </c>
      <c r="F35" s="869">
        <v>0</v>
      </c>
      <c r="G35" s="889">
        <f>SUM(B35:E35)</f>
        <v>224154</v>
      </c>
    </row>
    <row r="36" spans="1:56" hidden="1">
      <c r="A36" s="892" t="s">
        <v>192</v>
      </c>
      <c r="B36" s="869">
        <f>SUM(B24:B35)</f>
        <v>804234</v>
      </c>
      <c r="C36" s="869">
        <f>SUM(C24:C35)</f>
        <v>1756531</v>
      </c>
      <c r="D36" s="869">
        <f>SUM(D24:D35)</f>
        <v>271167</v>
      </c>
      <c r="E36" s="869">
        <f>SUM(E24:E35)</f>
        <v>23579.3</v>
      </c>
      <c r="F36" s="869">
        <f>SUM(F24:F35)</f>
        <v>8125.1</v>
      </c>
      <c r="G36" s="889">
        <f>SUM(B36:E36)</f>
        <v>2855511.3</v>
      </c>
    </row>
    <row r="37" spans="1:56" hidden="1">
      <c r="A37" s="891">
        <v>41275</v>
      </c>
      <c r="B37" s="868">
        <v>76622</v>
      </c>
      <c r="C37" s="868">
        <v>160841</v>
      </c>
      <c r="D37" s="868">
        <v>24638</v>
      </c>
      <c r="E37" s="868">
        <v>2689</v>
      </c>
      <c r="F37" s="868">
        <v>0</v>
      </c>
      <c r="G37" s="889">
        <f t="shared" ref="G37:G61" si="2">SUM(B37:F37)</f>
        <v>264790</v>
      </c>
    </row>
    <row r="38" spans="1:56" hidden="1">
      <c r="A38" s="891">
        <v>41306</v>
      </c>
      <c r="B38" s="868">
        <v>79470</v>
      </c>
      <c r="C38" s="868">
        <v>153584</v>
      </c>
      <c r="D38" s="868">
        <v>24323</v>
      </c>
      <c r="E38" s="868">
        <v>2408</v>
      </c>
      <c r="F38" s="868">
        <v>0</v>
      </c>
      <c r="G38" s="889">
        <f t="shared" si="2"/>
        <v>259785</v>
      </c>
    </row>
    <row r="39" spans="1:56" hidden="1">
      <c r="A39" s="891">
        <v>41334</v>
      </c>
      <c r="B39" s="868">
        <v>91350</v>
      </c>
      <c r="C39" s="868">
        <v>178509</v>
      </c>
      <c r="D39" s="868">
        <v>31080</v>
      </c>
      <c r="E39" s="868">
        <v>1477.8000000000002</v>
      </c>
      <c r="F39" s="868">
        <v>1317.1999999999998</v>
      </c>
      <c r="G39" s="889">
        <f t="shared" si="2"/>
        <v>303734</v>
      </c>
    </row>
    <row r="40" spans="1:56" hidden="1">
      <c r="A40" s="891">
        <v>41365</v>
      </c>
      <c r="B40" s="868">
        <v>82041</v>
      </c>
      <c r="C40" s="868">
        <v>169555</v>
      </c>
      <c r="D40" s="868">
        <v>27708</v>
      </c>
      <c r="E40" s="868">
        <v>1370</v>
      </c>
      <c r="F40" s="868">
        <v>1286</v>
      </c>
      <c r="G40" s="889">
        <f t="shared" si="2"/>
        <v>281960</v>
      </c>
    </row>
    <row r="41" spans="1:56" hidden="1">
      <c r="A41" s="891">
        <v>41395</v>
      </c>
      <c r="B41" s="868">
        <v>48567</v>
      </c>
      <c r="C41" s="868">
        <v>152872</v>
      </c>
      <c r="D41" s="868">
        <v>25144</v>
      </c>
      <c r="E41" s="868">
        <v>1266</v>
      </c>
      <c r="F41" s="868">
        <v>1266</v>
      </c>
      <c r="G41" s="889">
        <f t="shared" si="2"/>
        <v>229115</v>
      </c>
      <c r="BD41" s="104"/>
    </row>
    <row r="42" spans="1:56" hidden="1">
      <c r="A42" s="891">
        <v>41426</v>
      </c>
      <c r="B42" s="868">
        <v>32765</v>
      </c>
      <c r="C42" s="868">
        <v>127289</v>
      </c>
      <c r="D42" s="868">
        <v>20521</v>
      </c>
      <c r="E42" s="868">
        <v>1164</v>
      </c>
      <c r="F42" s="868">
        <v>1164</v>
      </c>
      <c r="G42" s="889">
        <f t="shared" si="2"/>
        <v>182903</v>
      </c>
    </row>
    <row r="43" spans="1:56" hidden="1">
      <c r="A43" s="891">
        <v>41456</v>
      </c>
      <c r="B43" s="868">
        <v>38288</v>
      </c>
      <c r="C43" s="868">
        <v>127566</v>
      </c>
      <c r="D43" s="868">
        <v>21266</v>
      </c>
      <c r="E43" s="868">
        <v>1221.5</v>
      </c>
      <c r="F43" s="868">
        <v>1221.5</v>
      </c>
      <c r="G43" s="889">
        <f t="shared" si="2"/>
        <v>189563</v>
      </c>
    </row>
    <row r="44" spans="1:56" hidden="1">
      <c r="A44" s="891">
        <v>41487</v>
      </c>
      <c r="B44" s="868">
        <v>32788</v>
      </c>
      <c r="C44" s="868">
        <v>122047</v>
      </c>
      <c r="D44" s="868">
        <v>21037</v>
      </c>
      <c r="E44" s="868">
        <v>621.5</v>
      </c>
      <c r="F44" s="868">
        <v>1864.5</v>
      </c>
      <c r="G44" s="889">
        <f t="shared" si="2"/>
        <v>178358</v>
      </c>
    </row>
    <row r="45" spans="1:56" hidden="1">
      <c r="A45" s="891">
        <v>41518</v>
      </c>
      <c r="B45" s="868">
        <v>36433</v>
      </c>
      <c r="C45" s="868">
        <v>116788</v>
      </c>
      <c r="D45" s="868">
        <v>20201</v>
      </c>
      <c r="E45" s="868">
        <v>615</v>
      </c>
      <c r="F45" s="868">
        <v>1845</v>
      </c>
      <c r="G45" s="889">
        <f t="shared" si="2"/>
        <v>175882</v>
      </c>
    </row>
    <row r="46" spans="1:56" hidden="1">
      <c r="A46" s="891">
        <v>41548</v>
      </c>
      <c r="B46" s="868">
        <v>40629</v>
      </c>
      <c r="C46" s="868">
        <v>125144</v>
      </c>
      <c r="D46" s="868">
        <v>21491</v>
      </c>
      <c r="E46" s="868">
        <v>641.75</v>
      </c>
      <c r="F46" s="868">
        <v>1925.75</v>
      </c>
      <c r="G46" s="889">
        <f t="shared" si="2"/>
        <v>189831.5</v>
      </c>
      <c r="H46" s="111"/>
    </row>
    <row r="47" spans="1:56" hidden="1">
      <c r="A47" s="891">
        <v>41579</v>
      </c>
      <c r="B47" s="868">
        <v>41002</v>
      </c>
      <c r="C47" s="868">
        <v>129947</v>
      </c>
      <c r="D47" s="868">
        <v>22292</v>
      </c>
      <c r="E47" s="868">
        <v>617.25</v>
      </c>
      <c r="F47" s="868">
        <v>1851.75</v>
      </c>
      <c r="G47" s="889">
        <f t="shared" si="2"/>
        <v>195710</v>
      </c>
      <c r="H47" s="111"/>
    </row>
    <row r="48" spans="1:56" hidden="1">
      <c r="A48" s="891">
        <v>41609</v>
      </c>
      <c r="B48" s="868">
        <v>90056</v>
      </c>
      <c r="C48" s="868">
        <v>151550</v>
      </c>
      <c r="D48" s="868">
        <v>26182</v>
      </c>
      <c r="E48" s="868">
        <v>628.5</v>
      </c>
      <c r="F48" s="868">
        <v>1885.5</v>
      </c>
      <c r="G48" s="889">
        <f t="shared" si="2"/>
        <v>270302</v>
      </c>
      <c r="H48" s="111"/>
    </row>
    <row r="49" spans="1:10" hidden="1">
      <c r="A49" s="892" t="s">
        <v>375</v>
      </c>
      <c r="B49" s="869">
        <f>SUM(B37:B48)</f>
        <v>690011</v>
      </c>
      <c r="C49" s="869">
        <f>SUM(C37:C48)</f>
        <v>1715692</v>
      </c>
      <c r="D49" s="869">
        <f>SUM(D37:D48)</f>
        <v>285883</v>
      </c>
      <c r="E49" s="869">
        <f>SUM(E37:E48)</f>
        <v>14720.3</v>
      </c>
      <c r="F49" s="869">
        <f>SUM(F37:F48)</f>
        <v>15627.2</v>
      </c>
      <c r="G49" s="889">
        <f t="shared" si="2"/>
        <v>2721933.5</v>
      </c>
      <c r="H49" s="111"/>
    </row>
    <row r="50" spans="1:10" hidden="1">
      <c r="A50" s="891">
        <v>41640</v>
      </c>
      <c r="B50" s="868">
        <v>63417</v>
      </c>
      <c r="C50" s="868">
        <v>177190</v>
      </c>
      <c r="D50" s="868">
        <v>28605</v>
      </c>
      <c r="E50" s="868">
        <v>613</v>
      </c>
      <c r="F50" s="868">
        <v>1839</v>
      </c>
      <c r="G50" s="889">
        <f t="shared" si="2"/>
        <v>271664</v>
      </c>
      <c r="H50" s="111"/>
    </row>
    <row r="51" spans="1:10" hidden="1">
      <c r="A51" s="891">
        <v>41671</v>
      </c>
      <c r="B51" s="868">
        <v>81111</v>
      </c>
      <c r="C51" s="868">
        <v>179944</v>
      </c>
      <c r="D51" s="868">
        <v>29564</v>
      </c>
      <c r="E51" s="868">
        <v>1984</v>
      </c>
      <c r="F51" s="868">
        <v>123</v>
      </c>
      <c r="G51" s="889">
        <f t="shared" si="2"/>
        <v>292726</v>
      </c>
      <c r="H51" s="111"/>
    </row>
    <row r="52" spans="1:10" hidden="1">
      <c r="A52" s="891">
        <v>41699</v>
      </c>
      <c r="B52" s="868">
        <v>98608</v>
      </c>
      <c r="C52" s="868">
        <v>207830</v>
      </c>
      <c r="D52" s="868">
        <v>36030</v>
      </c>
      <c r="E52" s="868">
        <v>2278</v>
      </c>
      <c r="F52" s="870">
        <v>0</v>
      </c>
      <c r="G52" s="889">
        <f t="shared" si="2"/>
        <v>344746</v>
      </c>
      <c r="H52" s="111"/>
    </row>
    <row r="53" spans="1:10" hidden="1">
      <c r="A53" s="891">
        <v>41730</v>
      </c>
      <c r="B53" s="868">
        <v>75587</v>
      </c>
      <c r="C53" s="868">
        <v>200081</v>
      </c>
      <c r="D53" s="868">
        <v>32577</v>
      </c>
      <c r="E53" s="868">
        <v>2341.5</v>
      </c>
      <c r="F53" s="871">
        <v>0</v>
      </c>
      <c r="G53" s="889">
        <f t="shared" si="2"/>
        <v>310586.5</v>
      </c>
      <c r="H53" s="111"/>
    </row>
    <row r="54" spans="1:10" hidden="1">
      <c r="A54" s="891">
        <v>41760</v>
      </c>
      <c r="B54" s="868">
        <v>68373</v>
      </c>
      <c r="C54" s="868">
        <v>195614</v>
      </c>
      <c r="D54" s="868">
        <v>31621</v>
      </c>
      <c r="E54" s="868">
        <v>2479</v>
      </c>
      <c r="F54" s="871">
        <v>0</v>
      </c>
      <c r="G54" s="889">
        <f t="shared" si="2"/>
        <v>298087</v>
      </c>
      <c r="H54" s="111"/>
    </row>
    <row r="55" spans="1:10" hidden="1">
      <c r="A55" s="891">
        <v>41791</v>
      </c>
      <c r="B55" s="868">
        <v>56543</v>
      </c>
      <c r="C55" s="868">
        <v>169057</v>
      </c>
      <c r="D55" s="868">
        <v>27634</v>
      </c>
      <c r="E55" s="868">
        <v>2063</v>
      </c>
      <c r="F55" s="871">
        <v>0</v>
      </c>
      <c r="G55" s="889">
        <f t="shared" si="2"/>
        <v>255297</v>
      </c>
      <c r="H55" s="111"/>
    </row>
    <row r="56" spans="1:10" hidden="1">
      <c r="A56" s="891">
        <v>41821</v>
      </c>
      <c r="B56" s="868">
        <v>51966</v>
      </c>
      <c r="C56" s="868">
        <v>158238</v>
      </c>
      <c r="D56" s="868">
        <v>29340</v>
      </c>
      <c r="E56" s="868">
        <v>1893</v>
      </c>
      <c r="F56" s="871">
        <v>0</v>
      </c>
      <c r="G56" s="889">
        <f t="shared" si="2"/>
        <v>241437</v>
      </c>
      <c r="H56" s="111"/>
    </row>
    <row r="57" spans="1:10" hidden="1">
      <c r="A57" s="891">
        <v>41852</v>
      </c>
      <c r="B57" s="868">
        <v>56068</v>
      </c>
      <c r="C57" s="868">
        <v>138471</v>
      </c>
      <c r="D57" s="868">
        <v>27420</v>
      </c>
      <c r="E57" s="868">
        <v>1884</v>
      </c>
      <c r="F57" s="872">
        <v>0</v>
      </c>
      <c r="G57" s="889">
        <f t="shared" si="2"/>
        <v>223843</v>
      </c>
      <c r="H57" s="111"/>
    </row>
    <row r="58" spans="1:10" hidden="1">
      <c r="A58" s="891">
        <v>41883</v>
      </c>
      <c r="B58" s="868">
        <v>39339</v>
      </c>
      <c r="C58" s="868">
        <v>125141</v>
      </c>
      <c r="D58" s="868">
        <v>24682</v>
      </c>
      <c r="E58" s="868">
        <v>1285.5</v>
      </c>
      <c r="F58" s="872">
        <v>428.5</v>
      </c>
      <c r="G58" s="889">
        <f t="shared" si="2"/>
        <v>190876</v>
      </c>
      <c r="H58" s="111"/>
    </row>
    <row r="59" spans="1:10" hidden="1">
      <c r="A59" s="891">
        <v>41913</v>
      </c>
      <c r="B59" s="868">
        <v>50334</v>
      </c>
      <c r="C59" s="868">
        <v>135377</v>
      </c>
      <c r="D59" s="868">
        <v>27029</v>
      </c>
      <c r="E59" s="868">
        <v>1156.25</v>
      </c>
      <c r="F59" s="872">
        <v>563.75</v>
      </c>
      <c r="G59" s="889">
        <f t="shared" si="2"/>
        <v>214460</v>
      </c>
      <c r="H59" s="111"/>
    </row>
    <row r="60" spans="1:10" hidden="1">
      <c r="A60" s="891">
        <v>41944</v>
      </c>
      <c r="B60" s="868">
        <v>62248</v>
      </c>
      <c r="C60" s="868">
        <v>141856</v>
      </c>
      <c r="D60" s="868">
        <v>28004</v>
      </c>
      <c r="E60" s="868">
        <v>843.5</v>
      </c>
      <c r="F60" s="872">
        <v>920.5</v>
      </c>
      <c r="G60" s="889">
        <f t="shared" si="2"/>
        <v>233872</v>
      </c>
      <c r="H60" s="111"/>
    </row>
    <row r="61" spans="1:10" hidden="1">
      <c r="A61" s="891">
        <v>41974</v>
      </c>
      <c r="B61" s="868">
        <v>73507</v>
      </c>
      <c r="C61" s="868">
        <v>161209</v>
      </c>
      <c r="D61" s="868">
        <v>31489</v>
      </c>
      <c r="E61" s="868">
        <v>977</v>
      </c>
      <c r="F61" s="872">
        <v>977</v>
      </c>
      <c r="G61" s="889">
        <f t="shared" si="2"/>
        <v>268159</v>
      </c>
      <c r="H61" s="111"/>
    </row>
    <row r="62" spans="1:10" hidden="1">
      <c r="A62" s="891" t="s">
        <v>661</v>
      </c>
      <c r="B62" s="868">
        <f t="shared" ref="B62:G62" si="3">SUM(B50:B61)</f>
        <v>777101</v>
      </c>
      <c r="C62" s="868">
        <f t="shared" si="3"/>
        <v>1990008</v>
      </c>
      <c r="D62" s="868">
        <f t="shared" si="3"/>
        <v>353995</v>
      </c>
      <c r="E62" s="868">
        <f t="shared" si="3"/>
        <v>19797.75</v>
      </c>
      <c r="F62" s="868">
        <f t="shared" si="3"/>
        <v>4851.75</v>
      </c>
      <c r="G62" s="889">
        <f t="shared" si="3"/>
        <v>3145753.5</v>
      </c>
      <c r="H62" s="111"/>
    </row>
    <row r="63" spans="1:10" hidden="1">
      <c r="A63" s="891">
        <v>42005</v>
      </c>
      <c r="B63" s="868">
        <v>81556</v>
      </c>
      <c r="C63" s="868">
        <v>168330</v>
      </c>
      <c r="D63" s="868">
        <v>32988</v>
      </c>
      <c r="E63" s="868">
        <v>976</v>
      </c>
      <c r="F63" s="872">
        <v>976</v>
      </c>
      <c r="G63" s="889">
        <f t="shared" ref="G63:G74" si="4">SUM(B63:F63)</f>
        <v>284826</v>
      </c>
      <c r="H63" s="111"/>
      <c r="I63" s="71"/>
      <c r="J63" s="111"/>
    </row>
    <row r="64" spans="1:10" hidden="1">
      <c r="A64" s="891">
        <v>42036</v>
      </c>
      <c r="B64" s="868">
        <v>88573</v>
      </c>
      <c r="C64" s="868">
        <v>159288</v>
      </c>
      <c r="D64" s="868">
        <v>31733</v>
      </c>
      <c r="E64" s="868">
        <v>1115.5</v>
      </c>
      <c r="F64" s="872">
        <v>685.5</v>
      </c>
      <c r="G64" s="889">
        <f t="shared" si="4"/>
        <v>281395</v>
      </c>
      <c r="H64" s="111"/>
      <c r="I64" s="71"/>
      <c r="J64" s="111"/>
    </row>
    <row r="65" spans="1:11" hidden="1">
      <c r="A65" s="891">
        <v>42064</v>
      </c>
      <c r="B65" s="868">
        <v>107663</v>
      </c>
      <c r="C65" s="868">
        <v>190997</v>
      </c>
      <c r="D65" s="868">
        <v>36755</v>
      </c>
      <c r="E65" s="868">
        <v>1375.2999999999997</v>
      </c>
      <c r="F65" s="872">
        <v>580.70000000000005</v>
      </c>
      <c r="G65" s="889">
        <f t="shared" si="4"/>
        <v>337371</v>
      </c>
      <c r="H65" s="111"/>
      <c r="I65" s="71"/>
      <c r="J65" s="111"/>
    </row>
    <row r="66" spans="1:11" hidden="1">
      <c r="A66" s="891">
        <v>42095</v>
      </c>
      <c r="B66" s="868">
        <v>104500</v>
      </c>
      <c r="C66" s="868">
        <v>188153</v>
      </c>
      <c r="D66" s="868">
        <v>33564</v>
      </c>
      <c r="E66" s="868">
        <v>1357.2999999999997</v>
      </c>
      <c r="F66" s="872">
        <v>581.70000000000016</v>
      </c>
      <c r="G66" s="889">
        <f t="shared" si="4"/>
        <v>328156</v>
      </c>
      <c r="H66" s="111"/>
      <c r="I66" s="71"/>
      <c r="J66" s="111"/>
    </row>
    <row r="67" spans="1:11" hidden="1">
      <c r="A67" s="891">
        <v>42125</v>
      </c>
      <c r="B67" s="868">
        <v>105434</v>
      </c>
      <c r="C67" s="868">
        <v>182758</v>
      </c>
      <c r="D67" s="868">
        <v>31729</v>
      </c>
      <c r="E67" s="868">
        <v>1392.3</v>
      </c>
      <c r="F67" s="872">
        <v>596.70000000000005</v>
      </c>
      <c r="G67" s="889">
        <f t="shared" si="4"/>
        <v>321910</v>
      </c>
      <c r="H67" s="111"/>
      <c r="I67" s="71"/>
      <c r="J67" s="111"/>
    </row>
    <row r="68" spans="1:11" hidden="1">
      <c r="A68" s="891">
        <v>42156</v>
      </c>
      <c r="B68" s="868">
        <v>88964</v>
      </c>
      <c r="C68" s="868">
        <v>177782</v>
      </c>
      <c r="D68" s="868">
        <v>30784</v>
      </c>
      <c r="E68" s="868">
        <v>1329</v>
      </c>
      <c r="F68" s="872">
        <v>575</v>
      </c>
      <c r="G68" s="889">
        <f t="shared" si="4"/>
        <v>299434</v>
      </c>
      <c r="H68" s="111"/>
      <c r="I68" s="71"/>
      <c r="J68" s="111"/>
    </row>
    <row r="69" spans="1:11" hidden="1">
      <c r="A69" s="891">
        <v>42186</v>
      </c>
      <c r="B69" s="868">
        <v>74347</v>
      </c>
      <c r="C69" s="868">
        <v>151603</v>
      </c>
      <c r="D69" s="868">
        <v>31884</v>
      </c>
      <c r="E69" s="868">
        <v>1828</v>
      </c>
      <c r="F69" s="872">
        <v>0</v>
      </c>
      <c r="G69" s="889">
        <f t="shared" si="4"/>
        <v>259662</v>
      </c>
      <c r="H69" s="111"/>
      <c r="I69" s="71"/>
      <c r="J69" s="111"/>
    </row>
    <row r="70" spans="1:11" hidden="1">
      <c r="A70" s="891">
        <v>42217</v>
      </c>
      <c r="B70" s="868">
        <v>55517</v>
      </c>
      <c r="C70" s="868">
        <v>130717</v>
      </c>
      <c r="D70" s="868">
        <v>27641</v>
      </c>
      <c r="E70" s="868">
        <v>1367</v>
      </c>
      <c r="F70" s="872">
        <v>0</v>
      </c>
      <c r="G70" s="889">
        <f t="shared" si="4"/>
        <v>215242</v>
      </c>
      <c r="H70" s="111"/>
      <c r="I70" s="71"/>
      <c r="J70" s="111"/>
    </row>
    <row r="71" spans="1:11" hidden="1">
      <c r="A71" s="891">
        <v>42248</v>
      </c>
      <c r="B71" s="868">
        <v>62727</v>
      </c>
      <c r="C71" s="868">
        <v>127701</v>
      </c>
      <c r="D71" s="868">
        <v>26061</v>
      </c>
      <c r="E71" s="868">
        <v>967</v>
      </c>
      <c r="F71" s="872">
        <v>0</v>
      </c>
      <c r="G71" s="889">
        <f t="shared" si="4"/>
        <v>217456</v>
      </c>
      <c r="H71" s="111"/>
      <c r="I71" s="71"/>
      <c r="J71" s="111"/>
    </row>
    <row r="72" spans="1:11" hidden="1">
      <c r="A72" s="891">
        <v>42278</v>
      </c>
      <c r="B72" s="868">
        <v>61965</v>
      </c>
      <c r="C72" s="868">
        <v>141653</v>
      </c>
      <c r="D72" s="868">
        <v>28737</v>
      </c>
      <c r="E72" s="868">
        <v>1059.5</v>
      </c>
      <c r="F72" s="872">
        <v>312.5</v>
      </c>
      <c r="G72" s="889">
        <f t="shared" si="4"/>
        <v>233727</v>
      </c>
      <c r="H72" s="111"/>
      <c r="I72" s="71"/>
      <c r="J72" s="111"/>
    </row>
    <row r="73" spans="1:11" hidden="1">
      <c r="A73" s="891">
        <v>42309</v>
      </c>
      <c r="B73" s="868">
        <v>71153</v>
      </c>
      <c r="C73" s="868">
        <v>145743</v>
      </c>
      <c r="D73" s="868">
        <v>32195</v>
      </c>
      <c r="E73" s="868">
        <v>708</v>
      </c>
      <c r="F73" s="872">
        <v>708</v>
      </c>
      <c r="G73" s="889">
        <f t="shared" si="4"/>
        <v>250507</v>
      </c>
      <c r="H73" s="111"/>
      <c r="I73" s="71"/>
      <c r="J73" s="111"/>
    </row>
    <row r="74" spans="1:11" hidden="1">
      <c r="A74" s="891">
        <v>42339</v>
      </c>
      <c r="B74" s="868">
        <v>92676</v>
      </c>
      <c r="C74" s="868">
        <v>178019</v>
      </c>
      <c r="D74" s="868">
        <v>37063</v>
      </c>
      <c r="E74" s="868">
        <v>797</v>
      </c>
      <c r="F74" s="872">
        <v>797</v>
      </c>
      <c r="G74" s="889">
        <f t="shared" si="4"/>
        <v>309352</v>
      </c>
      <c r="H74" s="111"/>
      <c r="I74" s="71"/>
      <c r="J74" s="111"/>
    </row>
    <row r="75" spans="1:11" hidden="1">
      <c r="A75" s="891" t="s">
        <v>662</v>
      </c>
      <c r="B75" s="868">
        <f t="shared" ref="B75:G75" si="5">SUM(B63:B74)</f>
        <v>995075</v>
      </c>
      <c r="C75" s="868">
        <f t="shared" si="5"/>
        <v>1942744</v>
      </c>
      <c r="D75" s="868">
        <f t="shared" si="5"/>
        <v>381134</v>
      </c>
      <c r="E75" s="868">
        <f t="shared" si="5"/>
        <v>14271.9</v>
      </c>
      <c r="F75" s="868">
        <f t="shared" si="5"/>
        <v>5813.1</v>
      </c>
      <c r="G75" s="889">
        <f t="shared" si="5"/>
        <v>3339038</v>
      </c>
      <c r="H75" s="111"/>
      <c r="I75" s="71"/>
    </row>
    <row r="76" spans="1:11" hidden="1">
      <c r="A76" s="873">
        <v>42370</v>
      </c>
      <c r="B76" s="874">
        <v>100157</v>
      </c>
      <c r="C76" s="875">
        <v>186542.99999999997</v>
      </c>
      <c r="D76" s="875">
        <v>37461</v>
      </c>
      <c r="E76" s="875">
        <v>1462.5</v>
      </c>
      <c r="F76" s="876">
        <v>540.5</v>
      </c>
      <c r="G76" s="877">
        <f t="shared" ref="G76:G87" si="6">SUM(B76:F76)</f>
        <v>326164</v>
      </c>
      <c r="H76" s="111"/>
      <c r="I76" s="973"/>
      <c r="J76" s="973"/>
      <c r="K76" s="111"/>
    </row>
    <row r="77" spans="1:11" hidden="1">
      <c r="A77" s="878">
        <v>42401</v>
      </c>
      <c r="B77" s="879">
        <v>92286</v>
      </c>
      <c r="C77" s="880">
        <v>190833</v>
      </c>
      <c r="D77" s="880">
        <v>37154</v>
      </c>
      <c r="E77" s="880">
        <v>1281</v>
      </c>
      <c r="F77" s="881">
        <v>632</v>
      </c>
      <c r="G77" s="882">
        <f t="shared" si="6"/>
        <v>322186</v>
      </c>
      <c r="H77" s="111"/>
      <c r="I77" s="973"/>
      <c r="J77" s="973"/>
    </row>
    <row r="78" spans="1:11" hidden="1">
      <c r="A78" s="878">
        <v>42430</v>
      </c>
      <c r="B78" s="879">
        <v>116639</v>
      </c>
      <c r="C78" s="880">
        <v>212753</v>
      </c>
      <c r="D78" s="880">
        <v>41758</v>
      </c>
      <c r="E78" s="880">
        <v>1350.5</v>
      </c>
      <c r="F78" s="881">
        <v>705.5</v>
      </c>
      <c r="G78" s="882">
        <f t="shared" si="6"/>
        <v>373206</v>
      </c>
      <c r="H78" s="111"/>
      <c r="I78" s="973"/>
      <c r="J78" s="973"/>
    </row>
    <row r="79" spans="1:11" hidden="1">
      <c r="A79" s="878">
        <v>42461</v>
      </c>
      <c r="B79" s="879">
        <v>106256</v>
      </c>
      <c r="C79" s="880">
        <v>183144</v>
      </c>
      <c r="D79" s="880">
        <v>36657</v>
      </c>
      <c r="E79" s="880">
        <v>1575.5</v>
      </c>
      <c r="F79" s="881">
        <v>408.5</v>
      </c>
      <c r="G79" s="882">
        <f t="shared" si="6"/>
        <v>328041</v>
      </c>
      <c r="H79" s="111"/>
      <c r="I79" s="973"/>
      <c r="J79" s="973"/>
    </row>
    <row r="80" spans="1:11" hidden="1">
      <c r="A80" s="878">
        <v>42491</v>
      </c>
      <c r="B80" s="879">
        <v>103111</v>
      </c>
      <c r="C80" s="880">
        <v>165313</v>
      </c>
      <c r="D80" s="880">
        <v>33102</v>
      </c>
      <c r="E80" s="880">
        <v>1951</v>
      </c>
      <c r="F80" s="881">
        <v>0</v>
      </c>
      <c r="G80" s="882">
        <f t="shared" si="6"/>
        <v>303477</v>
      </c>
      <c r="H80" s="111"/>
      <c r="I80" s="973"/>
      <c r="J80" s="973"/>
    </row>
    <row r="81" spans="1:22" hidden="1">
      <c r="A81" s="878">
        <v>42522</v>
      </c>
      <c r="B81" s="879">
        <v>83612</v>
      </c>
      <c r="C81" s="880">
        <v>137868</v>
      </c>
      <c r="D81" s="880">
        <v>28577</v>
      </c>
      <c r="E81" s="880">
        <v>1790</v>
      </c>
      <c r="F81" s="881">
        <v>0</v>
      </c>
      <c r="G81" s="882">
        <f t="shared" si="6"/>
        <v>251847</v>
      </c>
      <c r="H81" s="111">
        <f>SUM(G76:G81)</f>
        <v>1904921</v>
      </c>
      <c r="I81" s="973"/>
      <c r="J81" s="973"/>
    </row>
    <row r="82" spans="1:22" hidden="1">
      <c r="A82" s="878">
        <v>42552</v>
      </c>
      <c r="B82" s="879">
        <v>72325</v>
      </c>
      <c r="C82" s="880">
        <v>127859</v>
      </c>
      <c r="D82" s="880">
        <v>26923</v>
      </c>
      <c r="E82" s="880">
        <v>971</v>
      </c>
      <c r="F82" s="881">
        <v>899</v>
      </c>
      <c r="G82" s="882">
        <f t="shared" si="6"/>
        <v>228977</v>
      </c>
      <c r="H82" s="111"/>
      <c r="I82" s="973"/>
      <c r="J82" s="973"/>
    </row>
    <row r="83" spans="1:22" hidden="1">
      <c r="A83" s="878">
        <v>42583</v>
      </c>
      <c r="B83" s="879">
        <v>71071</v>
      </c>
      <c r="C83" s="880">
        <v>117739.99629297268</v>
      </c>
      <c r="D83" s="880">
        <v>28363</v>
      </c>
      <c r="E83" s="880">
        <v>1403.25</v>
      </c>
      <c r="F83" s="881">
        <v>444.75</v>
      </c>
      <c r="G83" s="882">
        <f t="shared" si="6"/>
        <v>219021.99629297268</v>
      </c>
      <c r="H83" s="111"/>
      <c r="I83" s="973"/>
      <c r="J83" s="973"/>
    </row>
    <row r="84" spans="1:22" hidden="1">
      <c r="A84" s="878">
        <v>42614</v>
      </c>
      <c r="B84" s="879">
        <v>79347</v>
      </c>
      <c r="C84" s="880">
        <v>117835.00000000001</v>
      </c>
      <c r="D84" s="880">
        <v>27105</v>
      </c>
      <c r="E84" s="880">
        <v>655.25</v>
      </c>
      <c r="F84" s="881">
        <v>1147.75</v>
      </c>
      <c r="G84" s="882">
        <f t="shared" si="6"/>
        <v>226090</v>
      </c>
      <c r="H84" s="111"/>
      <c r="I84" s="973"/>
      <c r="J84" s="973"/>
    </row>
    <row r="85" spans="1:22" hidden="1">
      <c r="A85" s="878">
        <v>42644</v>
      </c>
      <c r="B85" s="879">
        <v>81382</v>
      </c>
      <c r="C85" s="880">
        <v>118559.02163050865</v>
      </c>
      <c r="D85" s="880">
        <v>27663</v>
      </c>
      <c r="E85" s="880">
        <v>517.5</v>
      </c>
      <c r="F85" s="881">
        <v>1260.5</v>
      </c>
      <c r="G85" s="882">
        <f t="shared" si="6"/>
        <v>229382.02163050865</v>
      </c>
      <c r="H85" s="111"/>
      <c r="I85" s="973"/>
      <c r="J85" s="973"/>
    </row>
    <row r="86" spans="1:22" hidden="1">
      <c r="A86" s="878">
        <v>42675</v>
      </c>
      <c r="B86" s="879">
        <v>82951</v>
      </c>
      <c r="C86" s="880">
        <v>118767</v>
      </c>
      <c r="D86" s="880">
        <v>26647</v>
      </c>
      <c r="E86" s="880">
        <v>1278</v>
      </c>
      <c r="F86" s="881">
        <v>426</v>
      </c>
      <c r="G86" s="882">
        <f t="shared" si="6"/>
        <v>230069</v>
      </c>
      <c r="H86" s="111"/>
      <c r="I86" s="973"/>
      <c r="J86" s="973"/>
    </row>
    <row r="87" spans="1:22" hidden="1">
      <c r="A87" s="883">
        <v>42705</v>
      </c>
      <c r="B87" s="884">
        <v>90271</v>
      </c>
      <c r="C87" s="885">
        <v>148118.99999999997</v>
      </c>
      <c r="D87" s="885">
        <v>30259</v>
      </c>
      <c r="E87" s="885">
        <v>1380</v>
      </c>
      <c r="F87" s="886">
        <v>460</v>
      </c>
      <c r="G87" s="887">
        <f t="shared" si="6"/>
        <v>270489</v>
      </c>
      <c r="H87" s="111"/>
      <c r="I87" s="973"/>
      <c r="J87" s="973"/>
    </row>
    <row r="88" spans="1:22" hidden="1">
      <c r="A88" s="1132" t="s">
        <v>663</v>
      </c>
      <c r="B88" s="1130">
        <f t="shared" ref="B88:G88" si="7">SUM(B76:B87)</f>
        <v>1079408</v>
      </c>
      <c r="C88" s="1130">
        <f t="shared" si="7"/>
        <v>1825333.0179234813</v>
      </c>
      <c r="D88" s="1130">
        <f t="shared" si="7"/>
        <v>381669</v>
      </c>
      <c r="E88" s="1130">
        <f t="shared" si="7"/>
        <v>15615.5</v>
      </c>
      <c r="F88" s="1130">
        <f t="shared" si="7"/>
        <v>6924.5</v>
      </c>
      <c r="G88" s="1131">
        <f t="shared" si="7"/>
        <v>3308950.0179234813</v>
      </c>
      <c r="H88" s="111"/>
      <c r="I88" s="71"/>
    </row>
    <row r="89" spans="1:22" hidden="1">
      <c r="A89" s="1164">
        <v>42736</v>
      </c>
      <c r="B89" s="1165">
        <v>98438</v>
      </c>
      <c r="C89" s="178">
        <v>198742</v>
      </c>
      <c r="D89" s="1165">
        <v>35278</v>
      </c>
      <c r="E89" s="1165">
        <v>1492.5</v>
      </c>
      <c r="F89" s="1166">
        <v>317.5</v>
      </c>
      <c r="G89" s="1133">
        <f t="shared" ref="G89:G98" si="8">SUM(B89:F89)</f>
        <v>334268</v>
      </c>
      <c r="H89" s="111"/>
      <c r="I89" s="71"/>
    </row>
    <row r="90" spans="1:22" hidden="1">
      <c r="A90" s="878">
        <v>42767</v>
      </c>
      <c r="B90" s="266">
        <v>97515</v>
      </c>
      <c r="C90" s="92">
        <v>203953</v>
      </c>
      <c r="D90" s="266">
        <v>36197</v>
      </c>
      <c r="E90" s="266">
        <v>1484.6000000000004</v>
      </c>
      <c r="F90" s="1167">
        <v>299.45600000000007</v>
      </c>
      <c r="G90" s="1134">
        <f t="shared" si="8"/>
        <v>339449.05599999998</v>
      </c>
      <c r="H90" s="111"/>
      <c r="I90" s="71"/>
      <c r="V90" s="825"/>
    </row>
    <row r="91" spans="1:22" hidden="1">
      <c r="A91" s="878">
        <v>42795</v>
      </c>
      <c r="B91" s="266">
        <v>105987</v>
      </c>
      <c r="C91" s="92">
        <v>223404</v>
      </c>
      <c r="D91" s="266">
        <v>43547</v>
      </c>
      <c r="E91" s="266">
        <v>1825.9000000000003</v>
      </c>
      <c r="F91" s="1167">
        <v>202.89999999999998</v>
      </c>
      <c r="G91" s="1134">
        <f t="shared" si="8"/>
        <v>374966.80000000005</v>
      </c>
      <c r="H91" s="111"/>
      <c r="I91" s="71"/>
      <c r="V91" s="825"/>
    </row>
    <row r="92" spans="1:22" hidden="1">
      <c r="A92" s="878">
        <v>42826</v>
      </c>
      <c r="B92" s="266">
        <v>108117</v>
      </c>
      <c r="C92" s="92">
        <v>203066.28339999999</v>
      </c>
      <c r="D92" s="266">
        <v>43427</v>
      </c>
      <c r="E92" s="266">
        <v>1786.2</v>
      </c>
      <c r="F92" s="1167">
        <v>192.3</v>
      </c>
      <c r="G92" s="1134">
        <f t="shared" si="8"/>
        <v>356588.78339999996</v>
      </c>
      <c r="H92" s="111"/>
      <c r="I92" s="71"/>
      <c r="V92" s="825"/>
    </row>
    <row r="93" spans="1:22" hidden="1">
      <c r="A93" s="878">
        <v>42856</v>
      </c>
      <c r="B93" s="266">
        <v>92547.029609258054</v>
      </c>
      <c r="C93" s="92">
        <v>182417.47690178544</v>
      </c>
      <c r="D93" s="266">
        <v>39741</v>
      </c>
      <c r="E93" s="266">
        <v>1885</v>
      </c>
      <c r="F93" s="1167">
        <v>0</v>
      </c>
      <c r="G93" s="1134">
        <f t="shared" si="8"/>
        <v>316590.50651104352</v>
      </c>
      <c r="H93" s="111"/>
      <c r="I93" s="71"/>
      <c r="V93" s="825"/>
    </row>
    <row r="94" spans="1:22" hidden="1">
      <c r="A94" s="878">
        <v>42887</v>
      </c>
      <c r="B94" s="266">
        <v>81485.046221669269</v>
      </c>
      <c r="C94" s="92">
        <v>140341.62798479342</v>
      </c>
      <c r="D94" s="266">
        <v>34226</v>
      </c>
      <c r="E94" s="266">
        <v>1778</v>
      </c>
      <c r="F94" s="1167">
        <v>0</v>
      </c>
      <c r="G94" s="1134">
        <f t="shared" si="8"/>
        <v>257830.67420646269</v>
      </c>
      <c r="H94" s="111"/>
      <c r="I94" s="29"/>
      <c r="K94" s="825"/>
      <c r="L94" s="825"/>
      <c r="M94" s="825"/>
      <c r="N94" s="825"/>
      <c r="O94" s="825"/>
      <c r="V94" s="825"/>
    </row>
    <row r="95" spans="1:22" hidden="1">
      <c r="A95" s="878">
        <v>42917</v>
      </c>
      <c r="B95" s="266">
        <v>77674.23894160839</v>
      </c>
      <c r="C95" s="92">
        <v>147820.89024640061</v>
      </c>
      <c r="D95" s="266">
        <v>32078</v>
      </c>
      <c r="E95" s="266">
        <v>1921</v>
      </c>
      <c r="F95" s="1167">
        <v>0</v>
      </c>
      <c r="G95" s="1134">
        <f t="shared" si="8"/>
        <v>259494.12918800901</v>
      </c>
      <c r="H95" s="111"/>
      <c r="I95" s="29"/>
      <c r="K95" s="825"/>
      <c r="L95" s="825"/>
      <c r="M95" s="825"/>
      <c r="N95" s="825"/>
      <c r="O95" s="825"/>
      <c r="V95" s="825"/>
    </row>
    <row r="96" spans="1:22" hidden="1">
      <c r="A96" s="878">
        <v>42948</v>
      </c>
      <c r="B96" s="266">
        <v>72395.887661722008</v>
      </c>
      <c r="C96" s="92">
        <v>125516.03966368386</v>
      </c>
      <c r="D96" s="266">
        <v>31442</v>
      </c>
      <c r="E96" s="266">
        <v>914.79999999999984</v>
      </c>
      <c r="F96" s="1167">
        <v>1040.2000000000003</v>
      </c>
      <c r="G96" s="1134">
        <f t="shared" si="8"/>
        <v>231308.92732540588</v>
      </c>
      <c r="H96" s="111"/>
      <c r="I96" s="29"/>
      <c r="K96" s="825"/>
      <c r="L96" s="825"/>
      <c r="M96" s="825"/>
      <c r="N96" s="825"/>
      <c r="O96" s="825"/>
      <c r="V96" s="825"/>
    </row>
    <row r="97" spans="1:56" hidden="1">
      <c r="A97" s="878">
        <v>42979</v>
      </c>
      <c r="B97" s="266">
        <v>65145.766320392242</v>
      </c>
      <c r="C97" s="92">
        <v>110296.37799377841</v>
      </c>
      <c r="D97" s="266">
        <v>28877</v>
      </c>
      <c r="E97" s="266">
        <v>642.10000000000014</v>
      </c>
      <c r="F97" s="1167">
        <v>1263.4000000000001</v>
      </c>
      <c r="G97" s="1134">
        <f t="shared" si="8"/>
        <v>206224.64431417064</v>
      </c>
      <c r="H97" s="111"/>
      <c r="I97" s="29"/>
      <c r="K97" s="825"/>
      <c r="L97" s="825"/>
      <c r="M97" s="825"/>
      <c r="N97" s="825"/>
      <c r="O97" s="825"/>
      <c r="V97" s="825"/>
    </row>
    <row r="98" spans="1:56">
      <c r="A98" s="878">
        <v>43009</v>
      </c>
      <c r="B98" s="266">
        <v>69974.859690605765</v>
      </c>
      <c r="C98" s="92">
        <v>128006.40073135452</v>
      </c>
      <c r="D98" s="266">
        <v>30763</v>
      </c>
      <c r="E98" s="266">
        <v>952.6</v>
      </c>
      <c r="F98" s="1167">
        <v>1068.3999999999999</v>
      </c>
      <c r="G98" s="1134">
        <f t="shared" si="8"/>
        <v>230765.26042196027</v>
      </c>
      <c r="H98" s="111"/>
      <c r="I98" s="29"/>
      <c r="K98" s="825"/>
      <c r="L98" s="825"/>
      <c r="M98" s="825"/>
      <c r="N98" s="825"/>
      <c r="O98" s="825"/>
      <c r="V98" s="825"/>
    </row>
    <row r="99" spans="1:56">
      <c r="A99" s="878">
        <v>43040</v>
      </c>
      <c r="B99" s="266">
        <v>53148.793414092463</v>
      </c>
      <c r="C99" s="92">
        <v>122611.58379916969</v>
      </c>
      <c r="D99" s="266">
        <v>30492</v>
      </c>
      <c r="E99" s="266">
        <v>960.59999999999991</v>
      </c>
      <c r="F99" s="1167">
        <v>1028.4000000000001</v>
      </c>
      <c r="G99" s="1134">
        <f>SUM(A99:F99)</f>
        <v>251281.37721326214</v>
      </c>
      <c r="H99" s="111"/>
      <c r="I99" s="29"/>
      <c r="K99" s="825"/>
      <c r="L99" s="825"/>
      <c r="M99" s="825"/>
      <c r="N99" s="825"/>
      <c r="O99" s="825"/>
      <c r="V99" s="825"/>
    </row>
    <row r="100" spans="1:56">
      <c r="A100" s="878">
        <v>43070</v>
      </c>
      <c r="B100" s="266">
        <v>76747.432146565538</v>
      </c>
      <c r="C100" s="92">
        <v>152614.32200943065</v>
      </c>
      <c r="D100" s="266">
        <v>33295</v>
      </c>
      <c r="E100" s="266">
        <v>1167.3000000000002</v>
      </c>
      <c r="F100" s="1167">
        <v>950.3</v>
      </c>
      <c r="G100" s="1134">
        <f>SUM(A100:F100)</f>
        <v>307844.35415599617</v>
      </c>
      <c r="H100" s="111"/>
      <c r="I100" s="29"/>
      <c r="K100" s="825"/>
      <c r="L100" s="825"/>
      <c r="M100" s="825"/>
      <c r="N100" s="825"/>
      <c r="O100" s="825"/>
      <c r="V100" s="825"/>
    </row>
    <row r="101" spans="1:56" s="1257" customFormat="1">
      <c r="A101" s="878">
        <v>43101</v>
      </c>
      <c r="B101" s="266">
        <v>88571.461321257841</v>
      </c>
      <c r="C101" s="92">
        <v>193498.395085956</v>
      </c>
      <c r="D101" s="266">
        <v>38741</v>
      </c>
      <c r="E101" s="266">
        <v>2220</v>
      </c>
      <c r="F101" s="1167">
        <v>171.5</v>
      </c>
      <c r="G101" s="1134">
        <f t="shared" ref="G101:G105" si="9">SUM(B101:F101)</f>
        <v>323202.35640721384</v>
      </c>
      <c r="H101" s="111"/>
      <c r="I101" s="29"/>
      <c r="J101" s="1258"/>
      <c r="K101" s="825"/>
      <c r="L101" s="825"/>
      <c r="M101" s="825"/>
      <c r="N101" s="825"/>
      <c r="O101" s="825"/>
      <c r="V101" s="825"/>
    </row>
    <row r="102" spans="1:56" s="1257" customFormat="1">
      <c r="A102" s="878">
        <v>43132</v>
      </c>
      <c r="B102" s="266">
        <v>92729.685332558511</v>
      </c>
      <c r="C102" s="92">
        <v>195011.3044808337</v>
      </c>
      <c r="D102" s="266">
        <v>39493</v>
      </c>
      <c r="E102" s="266">
        <v>2431</v>
      </c>
      <c r="F102" s="1167">
        <v>0</v>
      </c>
      <c r="G102" s="1134">
        <f t="shared" si="9"/>
        <v>329664.98981339223</v>
      </c>
      <c r="H102" s="111"/>
      <c r="I102" s="29"/>
      <c r="J102" s="1258"/>
      <c r="K102" s="825"/>
      <c r="L102" s="825"/>
      <c r="M102" s="825"/>
      <c r="N102" s="825"/>
      <c r="O102" s="825"/>
      <c r="V102" s="825"/>
    </row>
    <row r="103" spans="1:56" s="1257" customFormat="1">
      <c r="A103" s="878">
        <v>43160</v>
      </c>
      <c r="B103" s="266">
        <v>98967.17446814572</v>
      </c>
      <c r="C103" s="92">
        <v>222171.05039994343</v>
      </c>
      <c r="D103" s="266">
        <v>33283.639421387183</v>
      </c>
      <c r="E103" s="266">
        <v>2796</v>
      </c>
      <c r="F103" s="1167">
        <v>0</v>
      </c>
      <c r="G103" s="1134">
        <f t="shared" si="9"/>
        <v>357217.8642894763</v>
      </c>
      <c r="H103" s="111"/>
      <c r="I103" s="29"/>
      <c r="J103" s="1258"/>
      <c r="K103" s="825"/>
      <c r="L103" s="825"/>
      <c r="M103" s="825"/>
      <c r="N103" s="825"/>
      <c r="O103" s="825"/>
      <c r="V103" s="825"/>
    </row>
    <row r="104" spans="1:56" s="1257" customFormat="1">
      <c r="A104" s="878">
        <v>43191</v>
      </c>
      <c r="B104" s="266">
        <v>100631.23764240391</v>
      </c>
      <c r="C104" s="92">
        <v>201836.16508239351</v>
      </c>
      <c r="D104" s="266">
        <v>41099</v>
      </c>
      <c r="E104" s="266">
        <v>2186</v>
      </c>
      <c r="F104" s="1167">
        <v>0</v>
      </c>
      <c r="G104" s="1134">
        <f t="shared" si="9"/>
        <v>345752.40272479743</v>
      </c>
      <c r="H104" s="111"/>
      <c r="I104" s="29"/>
      <c r="J104" s="1258"/>
      <c r="K104" s="825"/>
      <c r="L104" s="825"/>
      <c r="M104" s="825"/>
      <c r="N104" s="825"/>
      <c r="O104" s="825"/>
      <c r="V104" s="825"/>
    </row>
    <row r="105" spans="1:56" s="1820" customFormat="1">
      <c r="A105" s="878">
        <v>43221</v>
      </c>
      <c r="B105" s="266">
        <v>93251.570832413156</v>
      </c>
      <c r="C105" s="92">
        <v>204103.60054470657</v>
      </c>
      <c r="D105" s="266">
        <v>41177</v>
      </c>
      <c r="E105" s="266">
        <v>2620</v>
      </c>
      <c r="F105" s="1167">
        <v>0</v>
      </c>
      <c r="G105" s="1134">
        <f t="shared" si="9"/>
        <v>341152.17137711972</v>
      </c>
      <c r="H105" s="111"/>
      <c r="I105" s="29"/>
      <c r="J105" s="1830"/>
      <c r="K105" s="825"/>
      <c r="L105" s="825"/>
      <c r="M105" s="825"/>
      <c r="N105" s="825"/>
      <c r="O105" s="825"/>
      <c r="V105" s="825"/>
    </row>
    <row r="106" spans="1:56" s="2638" customFormat="1">
      <c r="A106" s="878">
        <v>43252</v>
      </c>
      <c r="B106" s="266">
        <v>67865.170365843427</v>
      </c>
      <c r="C106" s="92">
        <v>156529.747898437</v>
      </c>
      <c r="D106" s="266">
        <v>36510</v>
      </c>
      <c r="E106" s="266">
        <v>2333</v>
      </c>
      <c r="F106" s="1167">
        <v>0</v>
      </c>
      <c r="G106" s="1134">
        <f t="shared" ref="G106" si="10">SUM(B106:F106)</f>
        <v>263237.91826428042</v>
      </c>
      <c r="H106" s="111"/>
      <c r="I106" s="2647"/>
      <c r="J106" s="2639"/>
      <c r="K106" s="825"/>
      <c r="L106" s="825"/>
      <c r="M106" s="825"/>
      <c r="N106" s="825"/>
      <c r="O106" s="825"/>
      <c r="V106" s="825"/>
    </row>
    <row r="107" spans="1:56" s="1820" customFormat="1">
      <c r="A107" s="878">
        <v>43282</v>
      </c>
      <c r="B107" s="266">
        <v>68310</v>
      </c>
      <c r="C107" s="92">
        <v>150730</v>
      </c>
      <c r="D107" s="266">
        <v>36291</v>
      </c>
      <c r="E107" s="266">
        <v>2458</v>
      </c>
      <c r="F107" s="1167">
        <v>0</v>
      </c>
      <c r="G107" s="1134">
        <f t="shared" ref="G107" si="11">SUM(B107:F107)</f>
        <v>257789</v>
      </c>
      <c r="H107" s="111"/>
      <c r="I107" s="29"/>
      <c r="J107" s="1830"/>
      <c r="K107" s="825"/>
      <c r="L107" s="825"/>
      <c r="M107" s="825"/>
      <c r="N107" s="825"/>
      <c r="O107" s="825"/>
      <c r="V107" s="825"/>
    </row>
    <row r="108" spans="1:56" s="2638" customFormat="1">
      <c r="A108" s="878">
        <v>43313</v>
      </c>
      <c r="B108" s="2734">
        <v>65350.570852115867</v>
      </c>
      <c r="C108" s="77">
        <v>137774.3001203223</v>
      </c>
      <c r="D108" s="2734">
        <v>36165</v>
      </c>
      <c r="E108" s="2734">
        <v>2260</v>
      </c>
      <c r="F108" s="1167">
        <v>0</v>
      </c>
      <c r="G108" s="1134">
        <f t="shared" ref="G108:G109" si="12">SUM(B108:F108)</f>
        <v>241549.87097243816</v>
      </c>
      <c r="H108" s="111"/>
      <c r="I108" s="2647"/>
      <c r="J108" s="2639"/>
      <c r="K108" s="825"/>
      <c r="L108" s="825"/>
      <c r="M108" s="825"/>
      <c r="N108" s="825"/>
      <c r="O108" s="825"/>
      <c r="V108" s="825"/>
    </row>
    <row r="109" spans="1:56" s="2638" customFormat="1" ht="13.5" thickBot="1">
      <c r="A109" s="878">
        <v>43344</v>
      </c>
      <c r="B109" s="2734">
        <v>65712.221374040702</v>
      </c>
      <c r="C109" s="77">
        <v>136436.45048882649</v>
      </c>
      <c r="D109" s="2734">
        <v>30041</v>
      </c>
      <c r="E109" s="2734">
        <v>2036</v>
      </c>
      <c r="F109" s="1167">
        <v>0</v>
      </c>
      <c r="G109" s="1134">
        <f t="shared" si="12"/>
        <v>234225.6718628672</v>
      </c>
      <c r="H109" s="111"/>
      <c r="I109" s="2647"/>
      <c r="J109" s="2639"/>
      <c r="K109" s="825"/>
      <c r="L109" s="825"/>
      <c r="M109" s="825"/>
      <c r="N109" s="825"/>
      <c r="O109" s="825"/>
      <c r="V109" s="825"/>
    </row>
    <row r="110" spans="1:56" s="4" customFormat="1" ht="19.5" customHeight="1" thickBot="1">
      <c r="A110" s="1238" t="s">
        <v>165</v>
      </c>
      <c r="B110" s="216">
        <f>(B109/B107)-1</f>
        <v>-3.8029258175366731E-2</v>
      </c>
      <c r="C110" s="216">
        <f t="shared" ref="C110:G110" si="13">(C109/C107)-1</f>
        <v>-9.4828829769611267E-2</v>
      </c>
      <c r="D110" s="216">
        <f t="shared" si="13"/>
        <v>-0.17221900746741614</v>
      </c>
      <c r="E110" s="216">
        <f t="shared" si="13"/>
        <v>-0.17168429617575265</v>
      </c>
      <c r="F110" s="216"/>
      <c r="G110" s="216">
        <f t="shared" si="13"/>
        <v>-9.1405483310509017E-2</v>
      </c>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s="4" customFormat="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s="4" customFormat="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56" s="4" customFormat="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56" s="4" customFormat="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56" s="4" customFormat="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56" s="4" customFormat="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56" s="4" customFormat="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56" s="4" customFormat="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56" s="4" customFormat="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56" s="4" customFormat="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56" s="4" customFormat="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56" s="4" customFormat="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4" spans="15:56" s="4" customFormat="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56" s="4" customFormat="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56" s="4" customFormat="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56" s="4" customFormat="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56" s="4" customFormat="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56" s="4" customFormat="1" ht="13.5" customHeight="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56" s="4" customFormat="1" ht="22.5" customHeight="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56" s="4" customFormat="1" ht="25.5" customHeight="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56" s="4" customFormat="1" ht="25.5" customHeight="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56" s="4" customFormat="1" ht="25.5" customHeight="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432" spans="1:56" s="4" customFormat="1">
      <c r="A432" s="5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s="4" customFormat="1">
      <c r="A433" s="5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s="4" customFormat="1">
      <c r="A434" s="5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s="4" customFormat="1">
      <c r="A435" s="5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s="4" customFormat="1">
      <c r="A436" s="5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s="4" customFormat="1">
      <c r="A437" s="5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s="4" customFormat="1">
      <c r="A438" s="5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s="4" customFormat="1">
      <c r="A439" s="5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s="4" customFormat="1">
      <c r="A440" s="5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s="4" customFormat="1">
      <c r="A441" s="5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s="4" customFormat="1">
      <c r="A442" s="5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s="4" customFormat="1">
      <c r="A443" s="5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s="4" customFormat="1">
      <c r="A444" s="5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s="4" customFormat="1">
      <c r="A445" s="5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s="4" customFormat="1">
      <c r="A446" s="5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s="4" customFormat="1">
      <c r="A447" s="5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s="4" customFormat="1">
      <c r="A448" s="5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s="4" customFormat="1">
      <c r="A449" s="5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s="4" customFormat="1">
      <c r="A450" s="5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s="4" customFormat="1">
      <c r="A451" s="53"/>
      <c r="B451" s="40"/>
      <c r="C451" s="40"/>
      <c r="D451" s="40"/>
      <c r="E451" s="40"/>
      <c r="F451" s="40"/>
      <c r="G451" s="40"/>
      <c r="H451" s="40"/>
      <c r="I451" s="40"/>
      <c r="J451" s="40"/>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sheetData>
  <mergeCells count="8">
    <mergeCell ref="A1:G1"/>
    <mergeCell ref="B8:G8"/>
    <mergeCell ref="B2:F2"/>
    <mergeCell ref="B3:G3"/>
    <mergeCell ref="B4:G4"/>
    <mergeCell ref="B5:G5"/>
    <mergeCell ref="B6:G6"/>
    <mergeCell ref="B7:G7"/>
  </mergeCells>
  <printOptions horizontalCentered="1" verticalCentered="1"/>
  <pageMargins left="0.70866141732283472" right="0.70866141732283472" top="0.74803149606299213" bottom="0.74803149606299213" header="0.31496062992125984" footer="0.31496062992125984"/>
  <pageSetup paperSize="9" scale="95" orientation="portrait" r:id="rId1"/>
  <ignoredErrors>
    <ignoredError sqref="G37:G48 G11:G35 G50:G54 G76:G83 G56:G61 G63:G74 G89:G98 G101:G104" formulaRange="1"/>
    <ignoredError sqref="G55" formula="1" formulaRange="1"/>
    <ignoredError sqref="G62 G75 G88"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tabColor theme="3" tint="0.39997558519241921"/>
  </sheetPr>
  <dimension ref="A1:BD448"/>
  <sheetViews>
    <sheetView showGridLines="0" view="pageBreakPreview" topLeftCell="A9" zoomScale="86" zoomScaleNormal="85" zoomScaleSheetLayoutView="86" workbookViewId="0">
      <selection activeCell="E105" sqref="E105"/>
    </sheetView>
  </sheetViews>
  <sheetFormatPr baseColWidth="10" defaultColWidth="12" defaultRowHeight="12.75"/>
  <cols>
    <col min="1" max="1" width="24.1640625" style="1" customWidth="1"/>
    <col min="2" max="2" width="18.33203125" style="1" customWidth="1"/>
    <col min="3" max="3" width="22" style="1" customWidth="1"/>
    <col min="4" max="4" width="14.83203125" style="1" customWidth="1"/>
    <col min="5" max="5" width="18.1640625" style="1" customWidth="1"/>
    <col min="6" max="6" width="12.33203125" style="1" bestFit="1" customWidth="1"/>
    <col min="7" max="7" width="13.83203125" style="4" hidden="1" customWidth="1"/>
    <col min="8" max="8" width="35.1640625" style="4" hidden="1" customWidth="1"/>
    <col min="9" max="9" width="19.5" style="4" hidden="1" customWidth="1"/>
    <col min="10" max="11" width="14.5" style="4" hidden="1" customWidth="1"/>
    <col min="12" max="12" width="13.6640625" style="4" hidden="1" customWidth="1"/>
    <col min="13" max="13" width="12" style="4" hidden="1" customWidth="1"/>
    <col min="14" max="15" width="12" style="1" hidden="1" customWidth="1"/>
    <col min="16" max="16" width="13.33203125" style="1" hidden="1" customWidth="1"/>
    <col min="17" max="17" width="15.6640625" style="1" hidden="1" customWidth="1"/>
    <col min="18" max="18" width="13.33203125" style="1" hidden="1" customWidth="1"/>
    <col min="19" max="19" width="10.33203125" style="1" hidden="1" customWidth="1"/>
    <col min="20" max="20" width="10.33203125" style="1820" hidden="1" customWidth="1"/>
    <col min="21" max="22" width="11.5" style="1" hidden="1" customWidth="1"/>
    <col min="23" max="23" width="15.6640625" style="1" hidden="1" customWidth="1"/>
    <col min="24" max="24" width="1" style="1" hidden="1" customWidth="1"/>
    <col min="25" max="25" width="4.83203125" style="1" hidden="1" customWidth="1"/>
    <col min="26" max="26" width="12" style="1" customWidth="1"/>
    <col min="27" max="16384" width="12" style="1"/>
  </cols>
  <sheetData>
    <row r="1" spans="1:36" ht="33.75" customHeight="1">
      <c r="A1" s="3008" t="s">
        <v>7</v>
      </c>
      <c r="B1" s="3009"/>
      <c r="C1" s="3009"/>
      <c r="D1" s="3009"/>
      <c r="E1" s="3009"/>
      <c r="F1" s="3010"/>
    </row>
    <row r="2" spans="1:36" s="3" customFormat="1" ht="24" customHeight="1">
      <c r="A2" s="1395" t="s">
        <v>18</v>
      </c>
      <c r="B2" s="3014" t="s">
        <v>592</v>
      </c>
      <c r="C2" s="3015"/>
      <c r="D2" s="3015"/>
      <c r="E2" s="3016"/>
      <c r="F2" s="811" t="s">
        <v>638</v>
      </c>
      <c r="G2" s="62"/>
      <c r="H2" s="62"/>
      <c r="I2" s="62"/>
      <c r="J2" s="62"/>
      <c r="K2" s="62"/>
      <c r="L2" s="62"/>
      <c r="M2" s="62"/>
    </row>
    <row r="3" spans="1:36" s="3" customFormat="1" ht="24" customHeight="1">
      <c r="A3" s="1395" t="s">
        <v>17</v>
      </c>
      <c r="B3" s="3017" t="s">
        <v>593</v>
      </c>
      <c r="C3" s="3018"/>
      <c r="D3" s="3018"/>
      <c r="E3" s="3018"/>
      <c r="F3" s="3019"/>
      <c r="G3" s="62"/>
      <c r="H3" s="62"/>
      <c r="I3" s="62"/>
      <c r="J3" s="62"/>
      <c r="K3" s="62"/>
      <c r="L3" s="62"/>
      <c r="M3" s="62"/>
    </row>
    <row r="4" spans="1:36" s="3" customFormat="1" ht="24" customHeight="1">
      <c r="A4" s="1395" t="s">
        <v>8</v>
      </c>
      <c r="B4" s="3017" t="s">
        <v>218</v>
      </c>
      <c r="C4" s="3018"/>
      <c r="D4" s="3018"/>
      <c r="E4" s="3018"/>
      <c r="F4" s="3019"/>
      <c r="G4" s="62"/>
      <c r="H4" s="62"/>
      <c r="I4" s="62"/>
      <c r="J4" s="62"/>
      <c r="K4" s="62"/>
      <c r="L4" s="62"/>
      <c r="M4" s="62"/>
    </row>
    <row r="5" spans="1:36" s="3" customFormat="1" ht="24" customHeight="1">
      <c r="A5" s="1395" t="s">
        <v>11</v>
      </c>
      <c r="B5" s="3017" t="s">
        <v>695</v>
      </c>
      <c r="C5" s="3018"/>
      <c r="D5" s="3018"/>
      <c r="E5" s="3018"/>
      <c r="F5" s="3019"/>
      <c r="G5"/>
      <c r="H5"/>
      <c r="I5"/>
      <c r="J5"/>
      <c r="K5"/>
      <c r="L5" s="72"/>
      <c r="M5" s="62"/>
    </row>
    <row r="6" spans="1:36" s="3" customFormat="1" ht="24" customHeight="1">
      <c r="A6" s="1395" t="s">
        <v>16</v>
      </c>
      <c r="B6" s="3017" t="s">
        <v>12</v>
      </c>
      <c r="C6" s="3018"/>
      <c r="D6" s="3018"/>
      <c r="E6" s="3018"/>
      <c r="F6" s="3019"/>
      <c r="G6" s="62"/>
      <c r="H6" s="62"/>
      <c r="I6" s="62"/>
      <c r="J6" s="62"/>
      <c r="K6" s="62"/>
      <c r="L6" s="62"/>
      <c r="M6" s="62"/>
    </row>
    <row r="7" spans="1:36" s="3" customFormat="1" ht="24" customHeight="1">
      <c r="A7" s="1395" t="s">
        <v>9</v>
      </c>
      <c r="B7" s="3017" t="s">
        <v>224</v>
      </c>
      <c r="C7" s="3018"/>
      <c r="D7" s="3018"/>
      <c r="E7" s="3018"/>
      <c r="F7" s="3019"/>
      <c r="G7" s="62"/>
      <c r="H7" s="62"/>
      <c r="I7" s="62"/>
      <c r="J7" s="62"/>
      <c r="K7" s="62"/>
      <c r="L7" s="62"/>
      <c r="M7" s="62"/>
      <c r="AJ7" s="37"/>
    </row>
    <row r="8" spans="1:36" s="3" customFormat="1" ht="32.25" customHeight="1">
      <c r="A8" s="1395" t="s">
        <v>21</v>
      </c>
      <c r="B8" s="3011"/>
      <c r="C8" s="3012"/>
      <c r="D8" s="3012"/>
      <c r="E8" s="3012"/>
      <c r="F8" s="3013"/>
      <c r="G8" s="62"/>
      <c r="H8" s="62"/>
      <c r="I8" s="62"/>
      <c r="J8" s="62"/>
      <c r="K8" s="62"/>
      <c r="L8" s="62"/>
      <c r="M8" s="62"/>
    </row>
    <row r="9" spans="1:36" ht="13.5" thickBot="1">
      <c r="A9" s="812"/>
      <c r="B9" s="1258"/>
      <c r="C9" s="1258"/>
      <c r="D9" s="1258"/>
      <c r="E9" s="1258"/>
      <c r="F9" s="813"/>
      <c r="M9" s="3020" t="s">
        <v>275</v>
      </c>
      <c r="N9" s="3021"/>
      <c r="O9" s="3021"/>
      <c r="P9" s="3020" t="s">
        <v>201</v>
      </c>
      <c r="Q9" s="3021"/>
      <c r="R9" s="3021"/>
      <c r="S9" s="3022" t="s">
        <v>202</v>
      </c>
      <c r="T9" s="3023"/>
      <c r="U9" s="3020" t="s">
        <v>457</v>
      </c>
      <c r="V9" s="3021"/>
      <c r="W9" s="3021"/>
    </row>
    <row r="10" spans="1:36" s="4" customFormat="1" ht="38.25" customHeight="1" thickBot="1">
      <c r="A10" s="180" t="s">
        <v>221</v>
      </c>
      <c r="B10" s="200" t="s">
        <v>200</v>
      </c>
      <c r="C10" s="200" t="s">
        <v>598</v>
      </c>
      <c r="D10" s="200" t="s">
        <v>202</v>
      </c>
      <c r="E10" s="200" t="s">
        <v>457</v>
      </c>
      <c r="F10" s="181" t="s">
        <v>214</v>
      </c>
      <c r="H10" s="767" t="s">
        <v>594</v>
      </c>
      <c r="I10" s="741" t="s">
        <v>595</v>
      </c>
      <c r="J10" s="741" t="s">
        <v>596</v>
      </c>
      <c r="K10" s="741" t="s">
        <v>597</v>
      </c>
      <c r="L10" s="743" t="s">
        <v>220</v>
      </c>
      <c r="M10" s="745" t="s">
        <v>209</v>
      </c>
      <c r="N10" s="746" t="s">
        <v>495</v>
      </c>
      <c r="O10" s="746" t="s">
        <v>210</v>
      </c>
      <c r="P10" s="747" t="s">
        <v>211</v>
      </c>
      <c r="Q10" s="746" t="s">
        <v>535</v>
      </c>
      <c r="R10" s="746" t="s">
        <v>374</v>
      </c>
      <c r="S10" s="745" t="s">
        <v>212</v>
      </c>
      <c r="T10" s="747" t="s">
        <v>856</v>
      </c>
      <c r="U10" s="748" t="s">
        <v>213</v>
      </c>
      <c r="V10" s="746" t="s">
        <v>422</v>
      </c>
      <c r="W10" s="748" t="s">
        <v>260</v>
      </c>
      <c r="X10" s="744" t="s">
        <v>214</v>
      </c>
    </row>
    <row r="11" spans="1:36" hidden="1">
      <c r="A11" s="198">
        <v>40544</v>
      </c>
      <c r="B11" s="199">
        <v>65232</v>
      </c>
      <c r="C11" s="203">
        <v>143335</v>
      </c>
      <c r="D11" s="203">
        <v>19731</v>
      </c>
      <c r="E11" s="203">
        <v>942</v>
      </c>
      <c r="F11" s="212">
        <f t="shared" ref="F11:F74" si="0">SUM(B11:E11)</f>
        <v>229240</v>
      </c>
    </row>
    <row r="12" spans="1:36" hidden="1">
      <c r="A12" s="195">
        <v>40575</v>
      </c>
      <c r="B12" s="192">
        <v>67512</v>
      </c>
      <c r="C12" s="193">
        <v>136680</v>
      </c>
      <c r="D12" s="193">
        <v>18673</v>
      </c>
      <c r="E12" s="193">
        <v>0</v>
      </c>
      <c r="F12" s="212">
        <f t="shared" si="0"/>
        <v>222865</v>
      </c>
    </row>
    <row r="13" spans="1:36" hidden="1">
      <c r="A13" s="195">
        <v>40603</v>
      </c>
      <c r="B13" s="192">
        <v>74657</v>
      </c>
      <c r="C13" s="193">
        <v>156360</v>
      </c>
      <c r="D13" s="193">
        <v>22744</v>
      </c>
      <c r="E13" s="193">
        <v>2162.1426684280059</v>
      </c>
      <c r="F13" s="212">
        <f t="shared" si="0"/>
        <v>255923.14266842802</v>
      </c>
    </row>
    <row r="14" spans="1:36" hidden="1">
      <c r="A14" s="195">
        <v>40634</v>
      </c>
      <c r="B14" s="192">
        <v>83691</v>
      </c>
      <c r="C14" s="193">
        <v>157020</v>
      </c>
      <c r="D14" s="193">
        <v>20989</v>
      </c>
      <c r="E14" s="193">
        <v>1774.21</v>
      </c>
      <c r="F14" s="212">
        <f t="shared" si="0"/>
        <v>263474.21000000002</v>
      </c>
    </row>
    <row r="15" spans="1:36" hidden="1">
      <c r="A15" s="195">
        <v>40664</v>
      </c>
      <c r="B15" s="192">
        <v>50863</v>
      </c>
      <c r="C15" s="193">
        <v>160453</v>
      </c>
      <c r="D15" s="193">
        <v>21847</v>
      </c>
      <c r="E15" s="193">
        <v>1470</v>
      </c>
      <c r="F15" s="212">
        <f t="shared" si="0"/>
        <v>234633</v>
      </c>
    </row>
    <row r="16" spans="1:36" hidden="1">
      <c r="A16" s="195">
        <v>40695</v>
      </c>
      <c r="B16" s="192">
        <v>40412</v>
      </c>
      <c r="C16" s="193">
        <v>142218</v>
      </c>
      <c r="D16" s="193">
        <v>19706</v>
      </c>
      <c r="E16" s="193">
        <v>1491</v>
      </c>
      <c r="F16" s="212">
        <f t="shared" si="0"/>
        <v>203827</v>
      </c>
    </row>
    <row r="17" spans="1:6" hidden="1">
      <c r="A17" s="196">
        <v>40725</v>
      </c>
      <c r="B17" s="186">
        <v>33751</v>
      </c>
      <c r="C17" s="187">
        <v>134029</v>
      </c>
      <c r="D17" s="187">
        <v>18773</v>
      </c>
      <c r="E17" s="187">
        <v>1738</v>
      </c>
      <c r="F17" s="212">
        <f t="shared" si="0"/>
        <v>188291</v>
      </c>
    </row>
    <row r="18" spans="1:6" hidden="1">
      <c r="A18" s="196">
        <v>40756</v>
      </c>
      <c r="B18" s="186">
        <v>30265</v>
      </c>
      <c r="C18" s="187">
        <v>126027</v>
      </c>
      <c r="D18" s="187">
        <v>17841</v>
      </c>
      <c r="E18" s="187">
        <v>1274</v>
      </c>
      <c r="F18" s="212">
        <f t="shared" si="0"/>
        <v>175407</v>
      </c>
    </row>
    <row r="19" spans="1:6" hidden="1">
      <c r="A19" s="196">
        <v>40787</v>
      </c>
      <c r="B19" s="186">
        <v>34717</v>
      </c>
      <c r="C19" s="187">
        <v>119160</v>
      </c>
      <c r="D19" s="187">
        <v>16985</v>
      </c>
      <c r="E19" s="187">
        <v>1782</v>
      </c>
      <c r="F19" s="212">
        <f t="shared" si="0"/>
        <v>172644</v>
      </c>
    </row>
    <row r="20" spans="1:6" hidden="1">
      <c r="A20" s="196">
        <v>40817</v>
      </c>
      <c r="B20" s="186">
        <v>37852</v>
      </c>
      <c r="C20" s="187">
        <v>125582</v>
      </c>
      <c r="D20" s="187">
        <v>18695</v>
      </c>
      <c r="E20" s="187">
        <v>1922</v>
      </c>
      <c r="F20" s="212">
        <f t="shared" si="0"/>
        <v>184051</v>
      </c>
    </row>
    <row r="21" spans="1:6" hidden="1">
      <c r="A21" s="196">
        <v>40848</v>
      </c>
      <c r="B21" s="186">
        <v>37425</v>
      </c>
      <c r="C21" s="187">
        <v>121165</v>
      </c>
      <c r="D21" s="187">
        <v>18453</v>
      </c>
      <c r="E21" s="187">
        <v>1872</v>
      </c>
      <c r="F21" s="212">
        <f t="shared" si="0"/>
        <v>178915</v>
      </c>
    </row>
    <row r="22" spans="1:6" hidden="1">
      <c r="A22" s="196">
        <v>40878</v>
      </c>
      <c r="B22" s="186">
        <v>58267</v>
      </c>
      <c r="C22" s="187">
        <v>142021</v>
      </c>
      <c r="D22" s="187">
        <v>20856</v>
      </c>
      <c r="E22" s="187">
        <v>1194</v>
      </c>
      <c r="F22" s="212">
        <f t="shared" si="0"/>
        <v>222338</v>
      </c>
    </row>
    <row r="23" spans="1:6" hidden="1">
      <c r="A23" s="210" t="s">
        <v>6</v>
      </c>
      <c r="B23" s="202">
        <f>SUM(B11:B22)</f>
        <v>614644</v>
      </c>
      <c r="C23" s="202">
        <f>SUM(C11:C22)</f>
        <v>1664050</v>
      </c>
      <c r="D23" s="202">
        <f>SUM(D11:D22)</f>
        <v>235293</v>
      </c>
      <c r="E23" s="202">
        <f>SUM(E11:E22)</f>
        <v>17621.352668428008</v>
      </c>
      <c r="F23" s="588">
        <f t="shared" si="0"/>
        <v>2531608.3526684279</v>
      </c>
    </row>
    <row r="24" spans="1:6" hidden="1">
      <c r="A24" s="194">
        <v>40909</v>
      </c>
      <c r="B24" s="190">
        <v>76250</v>
      </c>
      <c r="C24" s="191">
        <v>162270</v>
      </c>
      <c r="D24" s="191">
        <v>23462</v>
      </c>
      <c r="E24" s="191">
        <v>0</v>
      </c>
      <c r="F24" s="212">
        <f t="shared" si="0"/>
        <v>261982</v>
      </c>
    </row>
    <row r="25" spans="1:6" hidden="1">
      <c r="A25" s="195">
        <v>40940</v>
      </c>
      <c r="B25" s="192">
        <v>78924</v>
      </c>
      <c r="C25" s="193">
        <v>146252</v>
      </c>
      <c r="D25" s="193">
        <v>22383</v>
      </c>
      <c r="E25" s="193">
        <v>1381</v>
      </c>
      <c r="F25" s="212">
        <f t="shared" si="0"/>
        <v>248940</v>
      </c>
    </row>
    <row r="26" spans="1:6" hidden="1">
      <c r="A26" s="195">
        <v>40969</v>
      </c>
      <c r="B26" s="192">
        <v>81578</v>
      </c>
      <c r="C26" s="193">
        <v>170985</v>
      </c>
      <c r="D26" s="193">
        <v>27610</v>
      </c>
      <c r="E26" s="193">
        <v>1125</v>
      </c>
      <c r="F26" s="212">
        <f t="shared" si="0"/>
        <v>281298</v>
      </c>
    </row>
    <row r="27" spans="1:6" hidden="1">
      <c r="A27" s="195">
        <v>41000</v>
      </c>
      <c r="B27" s="192">
        <v>89558</v>
      </c>
      <c r="C27" s="193">
        <v>169570</v>
      </c>
      <c r="D27" s="193">
        <v>26147</v>
      </c>
      <c r="E27" s="193">
        <v>1866</v>
      </c>
      <c r="F27" s="212">
        <f t="shared" si="0"/>
        <v>287141</v>
      </c>
    </row>
    <row r="28" spans="1:6" hidden="1">
      <c r="A28" s="195">
        <v>41030</v>
      </c>
      <c r="B28" s="192">
        <v>86153</v>
      </c>
      <c r="C28" s="193">
        <v>170413</v>
      </c>
      <c r="D28" s="193">
        <v>26895</v>
      </c>
      <c r="E28" s="193">
        <v>2339</v>
      </c>
      <c r="F28" s="212">
        <f t="shared" si="0"/>
        <v>285800</v>
      </c>
    </row>
    <row r="29" spans="1:6" hidden="1">
      <c r="A29" s="195">
        <v>41061</v>
      </c>
      <c r="B29" s="192">
        <v>76273</v>
      </c>
      <c r="C29" s="193">
        <v>150385</v>
      </c>
      <c r="D29" s="193">
        <v>24835</v>
      </c>
      <c r="E29" s="193">
        <v>2016.3</v>
      </c>
      <c r="F29" s="212">
        <f t="shared" si="0"/>
        <v>253509.3</v>
      </c>
    </row>
    <row r="30" spans="1:6" hidden="1">
      <c r="A30" s="196">
        <v>41091</v>
      </c>
      <c r="B30" s="186">
        <v>58021</v>
      </c>
      <c r="C30" s="187">
        <v>139975</v>
      </c>
      <c r="D30" s="187">
        <v>22187</v>
      </c>
      <c r="E30" s="187">
        <v>2056</v>
      </c>
      <c r="F30" s="212">
        <f t="shared" si="0"/>
        <v>222239</v>
      </c>
    </row>
    <row r="31" spans="1:6" hidden="1">
      <c r="A31" s="196">
        <v>41122</v>
      </c>
      <c r="B31" s="186">
        <v>44494</v>
      </c>
      <c r="C31" s="187">
        <v>128771</v>
      </c>
      <c r="D31" s="187">
        <v>20071</v>
      </c>
      <c r="E31" s="187">
        <v>2102</v>
      </c>
      <c r="F31" s="212">
        <f t="shared" si="0"/>
        <v>195438</v>
      </c>
    </row>
    <row r="32" spans="1:6" hidden="1">
      <c r="A32" s="196">
        <v>41153</v>
      </c>
      <c r="B32" s="186">
        <v>43300</v>
      </c>
      <c r="C32" s="187">
        <v>122716</v>
      </c>
      <c r="D32" s="187">
        <v>18206</v>
      </c>
      <c r="E32" s="187">
        <v>2618</v>
      </c>
      <c r="F32" s="212">
        <f t="shared" si="0"/>
        <v>186840</v>
      </c>
    </row>
    <row r="33" spans="1:56" hidden="1">
      <c r="A33" s="196">
        <v>41183</v>
      </c>
      <c r="B33" s="186">
        <v>54427</v>
      </c>
      <c r="C33" s="187">
        <v>129695</v>
      </c>
      <c r="D33" s="187">
        <v>19002</v>
      </c>
      <c r="E33" s="187">
        <v>2751</v>
      </c>
      <c r="F33" s="212">
        <f t="shared" si="0"/>
        <v>205875</v>
      </c>
    </row>
    <row r="34" spans="1:56" hidden="1">
      <c r="A34" s="196">
        <v>41214</v>
      </c>
      <c r="B34" s="186">
        <v>52318</v>
      </c>
      <c r="C34" s="187">
        <v>128338</v>
      </c>
      <c r="D34" s="187">
        <v>19013</v>
      </c>
      <c r="E34" s="187">
        <v>2626</v>
      </c>
      <c r="F34" s="212">
        <f t="shared" si="0"/>
        <v>202295</v>
      </c>
    </row>
    <row r="35" spans="1:56" s="4" customFormat="1" hidden="1">
      <c r="A35" s="197">
        <v>41244</v>
      </c>
      <c r="B35" s="188">
        <v>62938</v>
      </c>
      <c r="C35" s="189">
        <v>137161</v>
      </c>
      <c r="D35" s="189">
        <v>21356</v>
      </c>
      <c r="E35" s="189">
        <v>2699</v>
      </c>
      <c r="F35" s="212">
        <f t="shared" si="0"/>
        <v>224154</v>
      </c>
      <c r="T35" s="1830"/>
    </row>
    <row r="36" spans="1:56" hidden="1">
      <c r="A36" s="211" t="s">
        <v>192</v>
      </c>
      <c r="B36" s="209">
        <f>SUM(B24:B35)</f>
        <v>804234</v>
      </c>
      <c r="C36" s="209">
        <f>SUM(C24:C35)</f>
        <v>1756531</v>
      </c>
      <c r="D36" s="209">
        <f>SUM(D24:D35)</f>
        <v>271167</v>
      </c>
      <c r="E36" s="209">
        <f>SUM(E24:E35)</f>
        <v>23579.3</v>
      </c>
      <c r="F36" s="588">
        <f t="shared" si="0"/>
        <v>2855511.3</v>
      </c>
    </row>
    <row r="37" spans="1:56" hidden="1">
      <c r="A37" s="201">
        <v>41275</v>
      </c>
      <c r="B37" s="199">
        <v>76622</v>
      </c>
      <c r="C37" s="203">
        <v>160841</v>
      </c>
      <c r="D37" s="203">
        <v>24638</v>
      </c>
      <c r="E37" s="203">
        <v>2689</v>
      </c>
      <c r="F37" s="212">
        <f t="shared" si="0"/>
        <v>264790</v>
      </c>
    </row>
    <row r="38" spans="1:56" hidden="1">
      <c r="A38" s="196">
        <v>41306</v>
      </c>
      <c r="B38" s="199">
        <v>79470</v>
      </c>
      <c r="C38" s="203">
        <v>153584</v>
      </c>
      <c r="D38" s="203">
        <v>24323</v>
      </c>
      <c r="E38" s="203">
        <v>2408</v>
      </c>
      <c r="F38" s="212">
        <f t="shared" si="0"/>
        <v>259785</v>
      </c>
    </row>
    <row r="39" spans="1:56" hidden="1">
      <c r="A39" s="196">
        <v>41334</v>
      </c>
      <c r="B39" s="199">
        <v>91350</v>
      </c>
      <c r="C39" s="203">
        <v>178509</v>
      </c>
      <c r="D39" s="203">
        <v>31080</v>
      </c>
      <c r="E39" s="203">
        <v>1477.8000000000002</v>
      </c>
      <c r="F39" s="212">
        <f t="shared" si="0"/>
        <v>302416.8</v>
      </c>
    </row>
    <row r="40" spans="1:56" hidden="1">
      <c r="A40" s="196">
        <v>41365</v>
      </c>
      <c r="B40" s="199">
        <v>82041</v>
      </c>
      <c r="C40" s="203">
        <v>169555</v>
      </c>
      <c r="D40" s="203">
        <v>27708</v>
      </c>
      <c r="E40" s="203">
        <v>1370</v>
      </c>
      <c r="F40" s="212">
        <f t="shared" si="0"/>
        <v>280674</v>
      </c>
    </row>
    <row r="41" spans="1:56" hidden="1">
      <c r="A41" s="196">
        <v>41395</v>
      </c>
      <c r="B41" s="199">
        <v>48567</v>
      </c>
      <c r="C41" s="203">
        <v>152872</v>
      </c>
      <c r="D41" s="203">
        <v>25144</v>
      </c>
      <c r="E41" s="203">
        <v>1266</v>
      </c>
      <c r="F41" s="212">
        <f t="shared" si="0"/>
        <v>227849</v>
      </c>
      <c r="BD41" s="104">
        <v>0</v>
      </c>
    </row>
    <row r="42" spans="1:56" hidden="1">
      <c r="A42" s="196">
        <v>41426</v>
      </c>
      <c r="B42" s="199">
        <v>32765</v>
      </c>
      <c r="C42" s="203">
        <v>127289</v>
      </c>
      <c r="D42" s="203">
        <v>20521</v>
      </c>
      <c r="E42" s="203">
        <v>1164</v>
      </c>
      <c r="F42" s="212">
        <f t="shared" si="0"/>
        <v>181739</v>
      </c>
    </row>
    <row r="43" spans="1:56" hidden="1">
      <c r="A43" s="196">
        <v>41456</v>
      </c>
      <c r="B43" s="199">
        <v>38288</v>
      </c>
      <c r="C43" s="203">
        <v>127566</v>
      </c>
      <c r="D43" s="203">
        <v>21266</v>
      </c>
      <c r="E43" s="203">
        <v>1221.5</v>
      </c>
      <c r="F43" s="212">
        <f t="shared" si="0"/>
        <v>188341.5</v>
      </c>
    </row>
    <row r="44" spans="1:56" hidden="1">
      <c r="A44" s="196">
        <v>41487</v>
      </c>
      <c r="B44" s="199">
        <v>32788</v>
      </c>
      <c r="C44" s="203">
        <v>122047</v>
      </c>
      <c r="D44" s="203">
        <v>21037</v>
      </c>
      <c r="E44" s="203">
        <v>621.5</v>
      </c>
      <c r="F44" s="212">
        <f t="shared" si="0"/>
        <v>176493.5</v>
      </c>
    </row>
    <row r="45" spans="1:56" hidden="1">
      <c r="A45" s="196">
        <v>41518</v>
      </c>
      <c r="B45" s="199">
        <v>36433</v>
      </c>
      <c r="C45" s="203">
        <v>116788</v>
      </c>
      <c r="D45" s="203">
        <v>20201</v>
      </c>
      <c r="E45" s="203">
        <v>615</v>
      </c>
      <c r="F45" s="306">
        <f t="shared" si="0"/>
        <v>174037</v>
      </c>
    </row>
    <row r="46" spans="1:56" hidden="1">
      <c r="A46" s="196">
        <v>41548</v>
      </c>
      <c r="B46" s="199">
        <v>40629</v>
      </c>
      <c r="C46" s="203">
        <v>125144</v>
      </c>
      <c r="D46" s="203">
        <v>21491</v>
      </c>
      <c r="E46" s="203">
        <v>641.75</v>
      </c>
      <c r="F46" s="306">
        <f t="shared" si="0"/>
        <v>187905.75</v>
      </c>
      <c r="G46" s="111"/>
    </row>
    <row r="47" spans="1:56" hidden="1">
      <c r="A47" s="196">
        <v>41579</v>
      </c>
      <c r="B47" s="199">
        <v>41002</v>
      </c>
      <c r="C47" s="203">
        <v>129947</v>
      </c>
      <c r="D47" s="203">
        <v>22292</v>
      </c>
      <c r="E47" s="203">
        <v>617.25</v>
      </c>
      <c r="F47" s="306">
        <f t="shared" si="0"/>
        <v>193858.25</v>
      </c>
      <c r="G47" s="111"/>
    </row>
    <row r="48" spans="1:56" ht="13.5" hidden="1" thickBot="1">
      <c r="A48" s="197">
        <v>41609</v>
      </c>
      <c r="B48" s="318">
        <v>90056</v>
      </c>
      <c r="C48" s="319">
        <v>151550</v>
      </c>
      <c r="D48" s="319">
        <v>26182</v>
      </c>
      <c r="E48" s="319">
        <v>628.5</v>
      </c>
      <c r="F48" s="320">
        <f t="shared" si="0"/>
        <v>268416.5</v>
      </c>
      <c r="G48" s="111"/>
    </row>
    <row r="49" spans="1:8" ht="13.5" hidden="1" thickBot="1">
      <c r="A49" s="321" t="s">
        <v>375</v>
      </c>
      <c r="B49" s="322">
        <f>SUM(B37:B48)</f>
        <v>690011</v>
      </c>
      <c r="C49" s="322">
        <f>SUM(C37:C48)</f>
        <v>1715692</v>
      </c>
      <c r="D49" s="322">
        <f>SUM(D37:D48)</f>
        <v>285883</v>
      </c>
      <c r="E49" s="322">
        <f>SUM(E37:E48)</f>
        <v>14720.3</v>
      </c>
      <c r="F49" s="323">
        <f t="shared" si="0"/>
        <v>2706306.3</v>
      </c>
      <c r="G49" s="111">
        <f>F49-F36</f>
        <v>-149205</v>
      </c>
    </row>
    <row r="50" spans="1:8" hidden="1">
      <c r="A50" s="364">
        <v>41640</v>
      </c>
      <c r="B50" s="178">
        <v>63417</v>
      </c>
      <c r="C50" s="178">
        <v>177190</v>
      </c>
      <c r="D50" s="975">
        <v>28605</v>
      </c>
      <c r="E50" s="177">
        <v>613</v>
      </c>
      <c r="F50" s="356">
        <f t="shared" si="0"/>
        <v>269825</v>
      </c>
      <c r="G50" s="111"/>
    </row>
    <row r="51" spans="1:8" hidden="1">
      <c r="A51" s="196">
        <v>41671</v>
      </c>
      <c r="B51" s="93">
        <v>81111</v>
      </c>
      <c r="C51" s="93">
        <v>179944</v>
      </c>
      <c r="D51" s="976">
        <v>29564</v>
      </c>
      <c r="E51" s="974">
        <v>1984</v>
      </c>
      <c r="F51" s="357">
        <f t="shared" si="0"/>
        <v>292603</v>
      </c>
      <c r="G51" s="111"/>
    </row>
    <row r="52" spans="1:8" hidden="1">
      <c r="A52" s="197">
        <v>41699</v>
      </c>
      <c r="B52" s="93">
        <v>98608</v>
      </c>
      <c r="C52" s="93">
        <v>207830</v>
      </c>
      <c r="D52" s="976">
        <v>36030</v>
      </c>
      <c r="E52" s="974">
        <v>2278</v>
      </c>
      <c r="F52" s="357">
        <f t="shared" si="0"/>
        <v>344746</v>
      </c>
      <c r="G52" s="111"/>
    </row>
    <row r="53" spans="1:8" hidden="1">
      <c r="A53" s="196">
        <v>41730</v>
      </c>
      <c r="B53" s="93">
        <v>75587</v>
      </c>
      <c r="C53" s="93">
        <v>200081</v>
      </c>
      <c r="D53" s="976">
        <v>32577</v>
      </c>
      <c r="E53" s="974">
        <v>2341.5</v>
      </c>
      <c r="F53" s="357">
        <f t="shared" si="0"/>
        <v>310586.5</v>
      </c>
      <c r="G53" s="111"/>
    </row>
    <row r="54" spans="1:8" hidden="1">
      <c r="A54" s="196">
        <v>41760</v>
      </c>
      <c r="B54" s="93">
        <v>68373</v>
      </c>
      <c r="C54" s="93">
        <v>195614</v>
      </c>
      <c r="D54" s="976">
        <v>31621</v>
      </c>
      <c r="E54" s="974">
        <v>2479</v>
      </c>
      <c r="F54" s="357">
        <f t="shared" si="0"/>
        <v>298087</v>
      </c>
      <c r="G54" s="111"/>
    </row>
    <row r="55" spans="1:8" hidden="1">
      <c r="A55" s="196">
        <v>41791</v>
      </c>
      <c r="B55" s="93">
        <v>56543</v>
      </c>
      <c r="C55" s="93">
        <v>169057</v>
      </c>
      <c r="D55" s="976">
        <v>27634</v>
      </c>
      <c r="E55" s="974">
        <v>2063</v>
      </c>
      <c r="F55" s="357">
        <f t="shared" si="0"/>
        <v>255297</v>
      </c>
      <c r="G55" s="111"/>
    </row>
    <row r="56" spans="1:8" hidden="1">
      <c r="A56" s="196">
        <v>41821</v>
      </c>
      <c r="B56" s="93">
        <v>51966</v>
      </c>
      <c r="C56" s="93">
        <v>158238</v>
      </c>
      <c r="D56" s="976">
        <v>29340</v>
      </c>
      <c r="E56" s="974">
        <v>1893</v>
      </c>
      <c r="F56" s="357">
        <f t="shared" si="0"/>
        <v>241437</v>
      </c>
      <c r="G56" s="111"/>
    </row>
    <row r="57" spans="1:8" hidden="1">
      <c r="A57" s="196">
        <v>41852</v>
      </c>
      <c r="B57" s="93">
        <v>56068</v>
      </c>
      <c r="C57" s="93">
        <v>138471</v>
      </c>
      <c r="D57" s="976">
        <v>27420</v>
      </c>
      <c r="E57" s="974">
        <v>1884</v>
      </c>
      <c r="F57" s="357">
        <f t="shared" si="0"/>
        <v>223843</v>
      </c>
      <c r="G57" s="111"/>
    </row>
    <row r="58" spans="1:8" hidden="1">
      <c r="A58" s="196">
        <v>41883</v>
      </c>
      <c r="B58" s="93">
        <v>39339</v>
      </c>
      <c r="C58" s="93">
        <v>125141</v>
      </c>
      <c r="D58" s="976">
        <v>24682</v>
      </c>
      <c r="E58" s="974">
        <v>1285.5</v>
      </c>
      <c r="F58" s="357">
        <f t="shared" si="0"/>
        <v>190447.5</v>
      </c>
      <c r="G58" s="111"/>
    </row>
    <row r="59" spans="1:8" hidden="1">
      <c r="A59" s="196">
        <v>41913</v>
      </c>
      <c r="B59" s="93">
        <v>50334</v>
      </c>
      <c r="C59" s="93">
        <v>135377</v>
      </c>
      <c r="D59" s="976">
        <v>27029</v>
      </c>
      <c r="E59" s="974">
        <v>1156.25</v>
      </c>
      <c r="F59" s="357">
        <f t="shared" si="0"/>
        <v>213896.25</v>
      </c>
      <c r="G59" s="111"/>
    </row>
    <row r="60" spans="1:8" hidden="1">
      <c r="A60" s="196">
        <v>41944</v>
      </c>
      <c r="B60" s="93">
        <v>62248</v>
      </c>
      <c r="C60" s="93">
        <v>141856</v>
      </c>
      <c r="D60" s="976">
        <v>28004</v>
      </c>
      <c r="E60" s="974">
        <v>843.5</v>
      </c>
      <c r="F60" s="357">
        <f t="shared" si="0"/>
        <v>232951.5</v>
      </c>
      <c r="G60" s="111"/>
    </row>
    <row r="61" spans="1:8" hidden="1">
      <c r="A61" s="196">
        <v>41974</v>
      </c>
      <c r="B61" s="93">
        <v>73507</v>
      </c>
      <c r="C61" s="93">
        <v>161209</v>
      </c>
      <c r="D61" s="976">
        <v>31489</v>
      </c>
      <c r="E61" s="974">
        <v>977</v>
      </c>
      <c r="F61" s="357">
        <f t="shared" si="0"/>
        <v>267182</v>
      </c>
      <c r="G61" s="111"/>
    </row>
    <row r="62" spans="1:8" hidden="1">
      <c r="A62" s="196">
        <v>42005</v>
      </c>
      <c r="B62" s="93">
        <v>81556</v>
      </c>
      <c r="C62" s="93">
        <v>168330</v>
      </c>
      <c r="D62" s="976">
        <v>32988</v>
      </c>
      <c r="E62" s="974">
        <v>976</v>
      </c>
      <c r="F62" s="357">
        <f t="shared" si="0"/>
        <v>283850</v>
      </c>
      <c r="G62" s="111"/>
      <c r="H62" s="71"/>
    </row>
    <row r="63" spans="1:8" hidden="1">
      <c r="A63" s="196">
        <v>42036</v>
      </c>
      <c r="B63" s="93">
        <v>88573</v>
      </c>
      <c r="C63" s="93">
        <v>159288</v>
      </c>
      <c r="D63" s="976">
        <v>31733</v>
      </c>
      <c r="E63" s="974">
        <v>1128.5</v>
      </c>
      <c r="F63" s="357">
        <f t="shared" si="0"/>
        <v>280722.5</v>
      </c>
      <c r="G63" s="111"/>
      <c r="H63" s="71"/>
    </row>
    <row r="64" spans="1:8" hidden="1">
      <c r="A64" s="196">
        <v>42064</v>
      </c>
      <c r="B64" s="93">
        <v>107663</v>
      </c>
      <c r="C64" s="93">
        <v>190997</v>
      </c>
      <c r="D64" s="976">
        <v>36755</v>
      </c>
      <c r="E64" s="974">
        <v>1375.2999999999997</v>
      </c>
      <c r="F64" s="357">
        <f t="shared" si="0"/>
        <v>336790.3</v>
      </c>
      <c r="G64" s="111"/>
      <c r="H64" s="71"/>
    </row>
    <row r="65" spans="1:56" hidden="1">
      <c r="A65" s="196">
        <v>42095</v>
      </c>
      <c r="B65" s="93">
        <v>104500</v>
      </c>
      <c r="C65" s="93">
        <v>188153</v>
      </c>
      <c r="D65" s="976">
        <v>33564</v>
      </c>
      <c r="E65" s="974">
        <v>1357.2999999999997</v>
      </c>
      <c r="F65" s="357">
        <f t="shared" si="0"/>
        <v>327574.3</v>
      </c>
      <c r="G65" s="111"/>
      <c r="H65" s="71"/>
    </row>
    <row r="66" spans="1:56" hidden="1">
      <c r="A66" s="196">
        <v>42125</v>
      </c>
      <c r="B66" s="93">
        <v>105434</v>
      </c>
      <c r="C66" s="93">
        <v>182758</v>
      </c>
      <c r="D66" s="976">
        <v>31729</v>
      </c>
      <c r="E66" s="974">
        <v>1392.3</v>
      </c>
      <c r="F66" s="357">
        <f t="shared" si="0"/>
        <v>321313.3</v>
      </c>
      <c r="G66" s="111"/>
      <c r="H66" s="71"/>
    </row>
    <row r="67" spans="1:56" hidden="1">
      <c r="A67" s="196">
        <v>42156</v>
      </c>
      <c r="B67" s="93">
        <v>88964</v>
      </c>
      <c r="C67" s="93">
        <v>177782</v>
      </c>
      <c r="D67" s="976">
        <v>30784</v>
      </c>
      <c r="E67" s="974">
        <v>1329</v>
      </c>
      <c r="F67" s="357">
        <f t="shared" si="0"/>
        <v>298859</v>
      </c>
      <c r="G67" s="111"/>
      <c r="H67" s="71"/>
    </row>
    <row r="68" spans="1:56" hidden="1">
      <c r="A68" s="196">
        <v>42186</v>
      </c>
      <c r="B68" s="93">
        <v>74347</v>
      </c>
      <c r="C68" s="93">
        <v>151603</v>
      </c>
      <c r="D68" s="976">
        <v>31884</v>
      </c>
      <c r="E68" s="974">
        <v>1828</v>
      </c>
      <c r="F68" s="357">
        <f t="shared" si="0"/>
        <v>259662</v>
      </c>
      <c r="G68" s="111"/>
      <c r="H68" s="71"/>
    </row>
    <row r="69" spans="1:56" hidden="1">
      <c r="A69" s="196">
        <v>42217</v>
      </c>
      <c r="B69" s="93">
        <v>55517</v>
      </c>
      <c r="C69" s="93">
        <v>130717</v>
      </c>
      <c r="D69" s="976">
        <v>27641</v>
      </c>
      <c r="E69" s="974">
        <v>1721</v>
      </c>
      <c r="F69" s="357">
        <f t="shared" si="0"/>
        <v>215596</v>
      </c>
      <c r="G69" s="111"/>
      <c r="H69" s="71"/>
    </row>
    <row r="70" spans="1:56" hidden="1">
      <c r="A70" s="196">
        <v>42248</v>
      </c>
      <c r="B70" s="93">
        <v>62727</v>
      </c>
      <c r="C70" s="93">
        <v>127701</v>
      </c>
      <c r="D70" s="976">
        <v>26061</v>
      </c>
      <c r="E70" s="974">
        <v>1700</v>
      </c>
      <c r="F70" s="357">
        <f t="shared" si="0"/>
        <v>218189</v>
      </c>
      <c r="G70" s="111"/>
      <c r="H70" s="71"/>
    </row>
    <row r="71" spans="1:56" hidden="1">
      <c r="A71" s="196">
        <v>42278</v>
      </c>
      <c r="B71" s="199">
        <f>(N71+O71)/H71*1000</f>
        <v>40792.597251522559</v>
      </c>
      <c r="C71" s="199">
        <f>(Q71+R71)/I71*1000</f>
        <v>35252.998833492231</v>
      </c>
      <c r="D71" s="93"/>
      <c r="E71" s="91">
        <f>+(U71+V71+W71)/K71*1000</f>
        <v>1463.8658925077684</v>
      </c>
      <c r="F71" s="357">
        <f t="shared" si="0"/>
        <v>77509.461977522544</v>
      </c>
      <c r="G71" s="742">
        <f>+F71/'02_CONSUMO COMBUSTIBLE'!G72</f>
        <v>0.33162391156144794</v>
      </c>
      <c r="H71" s="33">
        <f>+'01_MWh GENERACIÓN'!B74/'02_CONSUMO COMBUSTIBLE'!B72*1000</f>
        <v>11.903042039861212</v>
      </c>
      <c r="I71" s="33">
        <f>+'01_MWh GENERACIÓN'!E74/'02_CONSUMO COMBUSTIBLE'!C72*1000</f>
        <v>14.283827380994401</v>
      </c>
      <c r="J71" s="33">
        <f>+'01_MWh GENERACIÓN'!H74/'02_CONSUMO COMBUSTIBLE'!D72*1000</f>
        <v>13.00066116852838</v>
      </c>
      <c r="K71" s="33">
        <f>+('01_MWh GENERACIÓN'!J74+'01_MWh GENERACIÓN'!K74)/('02_CONSUMO COMBUSTIBLE'!E72+'02_CONSUMO COMBUSTIBLE'!F72)*1000</f>
        <v>12.666180758017493</v>
      </c>
      <c r="L71" s="672">
        <f>+'01_MWh GENERACIÓN'!A74</f>
        <v>42278</v>
      </c>
      <c r="M71" s="33">
        <f>+'01_MWh GENERACIÓN'!B74</f>
        <v>737.572</v>
      </c>
      <c r="N71" s="33">
        <f>+'01_MWh GENERACIÓN'!C74</f>
        <v>484.197</v>
      </c>
      <c r="O71" s="33">
        <f>+'01_MWh GENERACIÓN'!D74</f>
        <v>1.359</v>
      </c>
      <c r="P71" s="33">
        <f>+'01_MWh GENERACIÓN'!E74</f>
        <v>2023.347</v>
      </c>
      <c r="Q71" s="33">
        <f>+'01_MWh GENERACIÓN'!F74</f>
        <v>151.102</v>
      </c>
      <c r="R71" s="33">
        <f>+'01_MWh GENERACIÓN'!G74</f>
        <v>352.44574999999998</v>
      </c>
      <c r="S71" s="33">
        <f>+'01_MWh GENERACIÓN'!H74</f>
        <v>373.6</v>
      </c>
      <c r="T71" s="33"/>
      <c r="U71" s="33">
        <f>+'01_MWh GENERACIÓN'!J74</f>
        <v>14.252000000000001</v>
      </c>
      <c r="V71" s="33">
        <f>+'01_MWh GENERACIÓN'!K74</f>
        <v>3.1259999999999999</v>
      </c>
      <c r="W71" s="33">
        <f>+'01_MWh GENERACIÓN'!L74</f>
        <v>1.1635900000000001</v>
      </c>
      <c r="X71" s="33">
        <f>+'01_MWh GENERACIÓN'!M74</f>
        <v>4142.1643400000003</v>
      </c>
    </row>
    <row r="72" spans="1:56" hidden="1">
      <c r="A72" s="196">
        <v>42309</v>
      </c>
      <c r="B72" s="199">
        <f t="shared" ref="B72:B80" si="1">(N72+O72)/H72*1000</f>
        <v>31913.939946499395</v>
      </c>
      <c r="C72" s="199">
        <f t="shared" ref="C72:C89" si="2">(Q72+R72)/I72*1000</f>
        <v>40267.57405293909</v>
      </c>
      <c r="D72" s="93"/>
      <c r="E72" s="974">
        <f t="shared" ref="E72:E89" si="3">+(U72+V72+W72)/K72*1000</f>
        <v>1508.5089259300144</v>
      </c>
      <c r="F72" s="357">
        <f t="shared" si="0"/>
        <v>73690.022925368496</v>
      </c>
      <c r="G72" s="742">
        <f>+F72/'02_CONSUMO COMBUSTIBLE'!G73</f>
        <v>0.29416352806655499</v>
      </c>
      <c r="H72" s="33">
        <f>+'01_MWh GENERACIÓN'!B75/'02_CONSUMO COMBUSTIBLE'!B73*1000</f>
        <v>11.999803240903404</v>
      </c>
      <c r="I72" s="33">
        <f>+'01_MWh GENERACIÓN'!E75/'02_CONSUMO COMBUSTIBLE'!C73*1000</f>
        <v>14.053944271766055</v>
      </c>
      <c r="J72" s="33">
        <f>+'01_MWh GENERACIÓN'!H75/'02_CONSUMO COMBUSTIBLE'!D73*1000</f>
        <v>12.907656468395714</v>
      </c>
      <c r="K72" s="33">
        <f>+('01_MWh GENERACIÓN'!J75+'01_MWh GENERACIÓN'!K75)/('02_CONSUMO COMBUSTIBLE'!E73+'02_CONSUMO COMBUSTIBLE'!F73)*1000</f>
        <v>12.795197740112993</v>
      </c>
      <c r="L72" s="672">
        <f>+'01_MWh GENERACIÓN'!A75</f>
        <v>42309</v>
      </c>
      <c r="M72" s="33">
        <f>+'01_MWh GENERACIÓN'!B75</f>
        <v>853.822</v>
      </c>
      <c r="N72" s="33">
        <f>+'01_MWh GENERACIÓN'!C75</f>
        <v>381.67200000000003</v>
      </c>
      <c r="O72" s="33">
        <f>+'01_MWh GENERACIÓN'!D75</f>
        <v>1.2889999999999999</v>
      </c>
      <c r="P72" s="33">
        <f>+'01_MWh GENERACIÓN'!E75</f>
        <v>2048.2640000000001</v>
      </c>
      <c r="Q72" s="33">
        <f>+'01_MWh GENERACIÓN'!F75</f>
        <v>125.733</v>
      </c>
      <c r="R72" s="33">
        <f>+'01_MWh GENERACIÓN'!G75</f>
        <v>440.18524169921875</v>
      </c>
      <c r="S72" s="33">
        <f>+'01_MWh GENERACIÓN'!H75</f>
        <v>415.56200000000001</v>
      </c>
      <c r="T72" s="33"/>
      <c r="U72" s="33">
        <f>+'01_MWh GENERACIÓN'!J75</f>
        <v>10.840999999999999</v>
      </c>
      <c r="V72" s="33">
        <f>+'01_MWh GENERACIÓN'!K75</f>
        <v>7.2770000000000001</v>
      </c>
      <c r="W72" s="33">
        <f>+'01_MWh GENERACIÓN'!L75</f>
        <v>1.18367</v>
      </c>
      <c r="X72" s="33">
        <f>+'01_MWh GENERACIÓN'!M75</f>
        <v>4285.82891169922</v>
      </c>
    </row>
    <row r="73" spans="1:56" s="4" customFormat="1" hidden="1">
      <c r="A73" s="196">
        <v>42339</v>
      </c>
      <c r="B73" s="199">
        <f t="shared" si="1"/>
        <v>20970.938868174489</v>
      </c>
      <c r="C73" s="199">
        <f t="shared" si="2"/>
        <v>41126.763118295254</v>
      </c>
      <c r="D73" s="93">
        <v>0</v>
      </c>
      <c r="E73" s="974">
        <f t="shared" si="3"/>
        <v>1700.3435691429133</v>
      </c>
      <c r="F73" s="357">
        <f t="shared" si="0"/>
        <v>63798.045555612654</v>
      </c>
      <c r="G73" s="742">
        <f>+F73/'02_CONSUMO COMBUSTIBLE'!G74</f>
        <v>0.2062312367646327</v>
      </c>
      <c r="H73" s="33">
        <f>+'01_MWh GENERACIÓN'!B76/'02_CONSUMO COMBUSTIBLE'!B74*1000</f>
        <v>12.119772109283955</v>
      </c>
      <c r="I73" s="33">
        <f>+'01_MWh GENERACIÓN'!E76/'02_CONSUMO COMBUSTIBLE'!C74*1000</f>
        <v>13.745201354911556</v>
      </c>
      <c r="J73" s="33">
        <f>+'01_MWh GENERACIÓN'!H76/'02_CONSUMO COMBUSTIBLE'!D74*1000</f>
        <v>12.86593098238135</v>
      </c>
      <c r="K73" s="33">
        <f>+('01_MWh GENERACIÓN'!J76+'01_MWh GENERACIÓN'!K76)/('02_CONSUMO COMBUSTIBLE'!E74+'02_CONSUMO COMBUSTIBLE'!F74)*1000</f>
        <v>12.743412797992471</v>
      </c>
      <c r="L73" s="672">
        <f>+'01_MWh GENERACIÓN'!A76</f>
        <v>42339</v>
      </c>
      <c r="M73" s="33">
        <f>+'01_MWh GENERACIÓN'!B76</f>
        <v>1123.212</v>
      </c>
      <c r="N73" s="33">
        <f>+'01_MWh GENERACIÓN'!C76</f>
        <v>252.821</v>
      </c>
      <c r="O73" s="33">
        <f>+'01_MWh GENERACIÓN'!D76</f>
        <v>1.3420000000000001</v>
      </c>
      <c r="P73" s="33">
        <f>+'01_MWh GENERACIÓN'!E76</f>
        <v>2446.9070000000002</v>
      </c>
      <c r="Q73" s="33">
        <f>+'01_MWh GENERACIÓN'!F76</f>
        <v>126.252</v>
      </c>
      <c r="R73" s="33">
        <f>+'01_MWh GENERACIÓN'!G76</f>
        <v>439.04364013671852</v>
      </c>
      <c r="S73" s="33">
        <f>+'01_MWh GENERACIÓN'!H76</f>
        <v>476.85</v>
      </c>
      <c r="T73" s="33"/>
      <c r="U73" s="33">
        <f>+'01_MWh GENERACIÓN'!J76</f>
        <v>11.932499999999999</v>
      </c>
      <c r="V73" s="33">
        <f>+'01_MWh GENERACIÓN'!K76</f>
        <v>8.3804999999999996</v>
      </c>
      <c r="W73" s="33">
        <f>+'01_MWh GENERACIÓN'!L76</f>
        <v>1.3551799999999998</v>
      </c>
      <c r="X73" s="33">
        <f>+'01_MWh GENERACIÓN'!M76</f>
        <v>4888.0958201367184</v>
      </c>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s="4" customFormat="1" hidden="1">
      <c r="A74" s="196">
        <v>42370</v>
      </c>
      <c r="B74" s="199">
        <f t="shared" si="1"/>
        <v>11547.855314839648</v>
      </c>
      <c r="C74" s="199">
        <f t="shared" si="2"/>
        <v>37949.112429066547</v>
      </c>
      <c r="D74" s="93">
        <v>0</v>
      </c>
      <c r="E74" s="974">
        <f t="shared" si="3"/>
        <v>2147.6678878892735</v>
      </c>
      <c r="F74" s="357">
        <f t="shared" si="0"/>
        <v>51644.635631795463</v>
      </c>
      <c r="G74" s="742">
        <f>+F74/'02_CONSUMO COMBUSTIBLE'!G76</f>
        <v>0.15833947226485898</v>
      </c>
      <c r="H74" s="33">
        <f>+'01_MWh GENERACIÓN'!B78/'02_CONSUMO COMBUSTIBLE'!B76*1000</f>
        <v>12.590303223938417</v>
      </c>
      <c r="I74" s="33">
        <f>+'01_MWh GENERACIÓN'!E78/'02_CONSUMO COMBUSTIBLE'!C76*1000</f>
        <v>13.911205459331095</v>
      </c>
      <c r="J74" s="33">
        <f>+'01_MWh GENERACIÓN'!H78/'02_CONSUMO COMBUSTIBLE'!D76*1000</f>
        <v>12.868316382370999</v>
      </c>
      <c r="K74" s="33">
        <f>+('01_MWh GENERACIÓN'!J78+'01_MWh GENERACIÓN'!K78)/('02_CONSUMO COMBUSTIBLE'!E76+'02_CONSUMO COMBUSTIBLE'!F76)*1000</f>
        <v>10.821268097853219</v>
      </c>
      <c r="L74" s="672">
        <f>+'01_MWh GENERACIÓN'!A78</f>
        <v>42370</v>
      </c>
      <c r="M74" s="33">
        <f>+'01_MWh GENERACIÓN'!B78</f>
        <v>1261.0070000000001</v>
      </c>
      <c r="N74" s="33">
        <f>+'01_MWh GENERACIÓN'!C78</f>
        <v>143.91499999999999</v>
      </c>
      <c r="O74" s="33">
        <f>+'01_MWh GENERACIÓN'!D78</f>
        <v>1.476</v>
      </c>
      <c r="P74" s="33">
        <f>+'01_MWh GENERACIÓN'!E78</f>
        <v>2595.038</v>
      </c>
      <c r="Q74" s="33">
        <f>+'01_MWh GENERACIÓN'!F78</f>
        <v>161.97800000000001</v>
      </c>
      <c r="R74" s="33">
        <f>+'01_MWh GENERACIÓN'!G78</f>
        <v>365.93990000000002</v>
      </c>
      <c r="S74" s="33">
        <f>+'01_MWh GENERACIÓN'!H78</f>
        <v>482.06</v>
      </c>
      <c r="T74" s="33"/>
      <c r="U74" s="33">
        <f>+'01_MWh GENERACIÓN'!J78</f>
        <v>15.961499999999999</v>
      </c>
      <c r="V74" s="33">
        <f>+'01_MWh GENERACIÓN'!K78</f>
        <v>5.7134999999999998</v>
      </c>
      <c r="W74" s="33">
        <f>+'01_MWh GENERACIÓN'!L78</f>
        <v>1.56549</v>
      </c>
      <c r="X74" s="33">
        <f>+'01_MWh GENERACIÓN'!M78</f>
        <v>5034.6543900000006</v>
      </c>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s="4" customFormat="1" hidden="1">
      <c r="A75" s="196">
        <v>42401</v>
      </c>
      <c r="B75" s="199">
        <f t="shared" si="1"/>
        <v>2375.5123662985911</v>
      </c>
      <c r="C75" s="199">
        <f t="shared" si="2"/>
        <v>26073.113292741909</v>
      </c>
      <c r="D75" s="93">
        <v>0</v>
      </c>
      <c r="E75" s="974">
        <f t="shared" si="3"/>
        <v>2076.3396352427435</v>
      </c>
      <c r="F75" s="357">
        <f t="shared" ref="F75:F88" si="4">SUM(B75:E75)</f>
        <v>30524.965294283244</v>
      </c>
      <c r="G75" s="742">
        <f>+F75/'02_CONSUMO COMBUSTIBLE'!G77</f>
        <v>9.4743301367170657E-2</v>
      </c>
      <c r="H75" s="33">
        <f>+'01_MWh GENERACIÓN'!B79/'02_CONSUMO COMBUSTIBLE'!B77*1000</f>
        <v>12.521509221333678</v>
      </c>
      <c r="I75" s="33">
        <f>+'01_MWh GENERACIÓN'!E79/'02_CONSUMO COMBUSTIBLE'!C77*1000</f>
        <v>14.596505845425057</v>
      </c>
      <c r="J75" s="33">
        <f>+'01_MWh GENERACIÓN'!H79/'02_CONSUMO COMBUSTIBLE'!D77*1000</f>
        <v>13.122409431016848</v>
      </c>
      <c r="K75" s="33">
        <f>+('01_MWh GENERACIÓN'!J79+'01_MWh GENERACIÓN'!K79)/('02_CONSUMO COMBUSTIBLE'!E77+'02_CONSUMO COMBUSTIBLE'!F77)*1000</f>
        <v>10.175117616309461</v>
      </c>
      <c r="L75" s="672">
        <f>+'01_MWh GENERACIÓN'!A79</f>
        <v>42401</v>
      </c>
      <c r="M75" s="33">
        <f>+'01_MWh GENERACIÓN'!B79</f>
        <v>1155.56</v>
      </c>
      <c r="N75" s="33">
        <f>+'01_MWh GENERACIÓN'!C79</f>
        <v>28.443999999999999</v>
      </c>
      <c r="O75" s="33">
        <f>+'01_MWh GENERACIÓN'!D79</f>
        <v>1.3009999999999999</v>
      </c>
      <c r="P75" s="33">
        <f>+'01_MWh GENERACIÓN'!E79</f>
        <v>2785.4949999999999</v>
      </c>
      <c r="Q75" s="33">
        <f>+'01_MWh GENERACIÓN'!F79</f>
        <v>181.99199999999999</v>
      </c>
      <c r="R75" s="33">
        <f>+'01_MWh GENERACIÓN'!G79</f>
        <v>198.58435058593699</v>
      </c>
      <c r="S75" s="33">
        <f>+'01_MWh GENERACIÓN'!H79</f>
        <v>487.55</v>
      </c>
      <c r="T75" s="33"/>
      <c r="U75" s="33">
        <f>+'01_MWh GENERACIÓN'!J79</f>
        <v>13.061500000000001</v>
      </c>
      <c r="V75" s="33">
        <f>+'01_MWh GENERACIÓN'!K79</f>
        <v>6.4035000000000002</v>
      </c>
      <c r="W75" s="33">
        <f>+'01_MWh GENERACIÓN'!L79</f>
        <v>1.6619999999999999</v>
      </c>
      <c r="X75" s="33">
        <f>+'01_MWh GENERACIÓN'!M79</f>
        <v>4860.0533505859366</v>
      </c>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s="4" customFormat="1" hidden="1">
      <c r="A76" s="196">
        <v>42430</v>
      </c>
      <c r="B76" s="199">
        <f t="shared" si="1"/>
        <v>2433.2800587877532</v>
      </c>
      <c r="C76" s="199">
        <f t="shared" si="2"/>
        <v>18211.436368628885</v>
      </c>
      <c r="D76" s="93">
        <v>0</v>
      </c>
      <c r="E76" s="974">
        <f t="shared" si="3"/>
        <v>2197.3155870366777</v>
      </c>
      <c r="F76" s="357">
        <f t="shared" si="4"/>
        <v>22842.032014453318</v>
      </c>
      <c r="G76" s="742">
        <f>+F76/'02_CONSUMO COMBUSTIBLE'!G78</f>
        <v>6.1204889563547527E-2</v>
      </c>
      <c r="H76" s="33">
        <f>+'01_MWh GENERACIÓN'!B80/'02_CONSUMO COMBUSTIBLE'!B78*1000</f>
        <v>12.658699062920636</v>
      </c>
      <c r="I76" s="33">
        <f>+'01_MWh GENERACIÓN'!E80/'02_CONSUMO COMBUSTIBLE'!C78*1000</f>
        <v>14.707383679666092</v>
      </c>
      <c r="J76" s="33">
        <f>+'01_MWh GENERACIÓN'!H80/'02_CONSUMO COMBUSTIBLE'!D78*1000</f>
        <v>13.11377460606351</v>
      </c>
      <c r="K76" s="33">
        <f>+('01_MWh GENERACIÓN'!J80+'01_MWh GENERACIÓN'!K80)/('02_CONSUMO COMBUSTIBLE'!E78+'02_CONSUMO COMBUSTIBLE'!F78)*1000</f>
        <v>10.025291828793774</v>
      </c>
      <c r="L76" s="672">
        <f>+'01_MWh GENERACIÓN'!A80</f>
        <v>42430</v>
      </c>
      <c r="M76" s="33">
        <f>+'01_MWh GENERACIÓN'!B80</f>
        <v>1476.498</v>
      </c>
      <c r="N76" s="33">
        <f>+'01_MWh GENERACIÓN'!C80</f>
        <v>29.53416</v>
      </c>
      <c r="O76" s="33">
        <f>+'01_MWh GENERACIÓN'!D80</f>
        <v>1.268</v>
      </c>
      <c r="P76" s="33">
        <f>+'01_MWh GENERACIÓN'!E80</f>
        <v>3129.04</v>
      </c>
      <c r="Q76" s="33">
        <f>+'01_MWh GENERACIÓN'!F80</f>
        <v>199.846</v>
      </c>
      <c r="R76" s="33">
        <f>+'01_MWh GENERACIÓN'!G80</f>
        <v>67.99658203125</v>
      </c>
      <c r="S76" s="33">
        <f>+'01_MWh GENERACIÓN'!H80</f>
        <v>547.60500000000002</v>
      </c>
      <c r="T76" s="33"/>
      <c r="U76" s="33">
        <f>+'01_MWh GENERACIÓN'!J80</f>
        <v>13.35</v>
      </c>
      <c r="V76" s="33">
        <f>+'01_MWh GENERACIÓN'!K80</f>
        <v>7.2619999999999996</v>
      </c>
      <c r="W76" s="33">
        <f>+'01_MWh GENERACIÓN'!L80</f>
        <v>1.41673</v>
      </c>
      <c r="X76" s="33">
        <f>+'01_MWh GENERACIÓN'!M80</f>
        <v>5473.8164720312488</v>
      </c>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s="4" customFormat="1" hidden="1">
      <c r="A77" s="196">
        <v>42461</v>
      </c>
      <c r="B77" s="199">
        <f t="shared" si="1"/>
        <v>8585.0098253516135</v>
      </c>
      <c r="C77" s="199">
        <f t="shared" si="2"/>
        <v>24407.1847116235</v>
      </c>
      <c r="D77" s="93">
        <v>0</v>
      </c>
      <c r="E77" s="974">
        <f t="shared" si="3"/>
        <v>2181.4845676464865</v>
      </c>
      <c r="F77" s="357">
        <f t="shared" si="4"/>
        <v>35173.679104621595</v>
      </c>
      <c r="G77" s="742">
        <f>+F77/'02_CONSUMO COMBUSTIBLE'!G79</f>
        <v>0.10722342361052915</v>
      </c>
      <c r="H77" s="33">
        <f>+'01_MWh GENERACIÓN'!B81/'02_CONSUMO COMBUSTIBLE'!B79*1000</f>
        <v>12.361080786026202</v>
      </c>
      <c r="I77" s="33">
        <f>+'01_MWh GENERACIÓN'!E81/'02_CONSUMO COMBUSTIBLE'!C79*1000</f>
        <v>14.725380028829772</v>
      </c>
      <c r="J77" s="33">
        <f>+'01_MWh GENERACIÓN'!H81/'02_CONSUMO COMBUSTIBLE'!D79*1000</f>
        <v>12.964727064407889</v>
      </c>
      <c r="K77" s="33">
        <f>+('01_MWh GENERACIÓN'!J81+'01_MWh GENERACIÓN'!K81)/('02_CONSUMO COMBUSTIBLE'!E79+'02_CONSUMO COMBUSTIBLE'!F79)*1000</f>
        <v>10.356854838709678</v>
      </c>
      <c r="L77" s="672">
        <f>+'01_MWh GENERACIÓN'!A81</f>
        <v>42461</v>
      </c>
      <c r="M77" s="33">
        <f>+'01_MWh GENERACIÓN'!B81</f>
        <v>1313.4390000000001</v>
      </c>
      <c r="N77" s="33">
        <f>+'01_MWh GENERACIÓN'!C81</f>
        <v>104.72</v>
      </c>
      <c r="O77" s="33">
        <f>+'01_MWh GENERACIÓN'!D81</f>
        <v>1.4</v>
      </c>
      <c r="P77" s="33">
        <f>+'01_MWh GENERACIÓN'!E81</f>
        <v>2696.8649999999998</v>
      </c>
      <c r="Q77" s="33">
        <f>+'01_MWh GENERACIÓN'!F81</f>
        <v>187.28299999999999</v>
      </c>
      <c r="R77" s="33">
        <f>+'01_MWh GENERACIÓN'!G81</f>
        <v>172.1220703125</v>
      </c>
      <c r="S77" s="33">
        <f>+'01_MWh GENERACIÓN'!H81</f>
        <v>475.24799999999999</v>
      </c>
      <c r="T77" s="33"/>
      <c r="U77" s="33">
        <f>+'01_MWh GENERACIÓN'!J81</f>
        <v>16.3035</v>
      </c>
      <c r="V77" s="33">
        <f>+'01_MWh GENERACIÓN'!K81</f>
        <v>4.2445000000000004</v>
      </c>
      <c r="W77" s="33">
        <f>+'01_MWh GENERACIÓN'!L81</f>
        <v>2.0453190000000001</v>
      </c>
      <c r="X77" s="33">
        <f>+'01_MWh GENERACIÓN'!M81</f>
        <v>4973.6703893124995</v>
      </c>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s="4" customFormat="1" hidden="1">
      <c r="A78" s="196">
        <v>42491</v>
      </c>
      <c r="B78" s="199">
        <f t="shared" si="1"/>
        <v>8494.7621231763096</v>
      </c>
      <c r="C78" s="199">
        <f t="shared" si="2"/>
        <v>33442.890077867589</v>
      </c>
      <c r="D78" s="93">
        <v>0</v>
      </c>
      <c r="E78" s="974">
        <f t="shared" si="3"/>
        <v>2172.8263470547195</v>
      </c>
      <c r="F78" s="357">
        <f t="shared" si="4"/>
        <v>44110.478548098617</v>
      </c>
      <c r="G78" s="742">
        <f>+F78/'02_CONSUMO COMBUSTIBLE'!G80</f>
        <v>0.14535031830451275</v>
      </c>
      <c r="H78" s="33">
        <f>+'01_MWh GENERACIÓN'!B82/'02_CONSUMO COMBUSTIBLE'!B80*1000</f>
        <v>12.067083046425697</v>
      </c>
      <c r="I78" s="33">
        <f>+'01_MWh GENERACIÓN'!E82/'02_CONSUMO COMBUSTIBLE'!C80*1000</f>
        <v>14.794795327651181</v>
      </c>
      <c r="J78" s="33">
        <f>+'01_MWh GENERACIÓN'!H82/'02_CONSUMO COMBUSTIBLE'!D80*1000</f>
        <v>13.504833544800917</v>
      </c>
      <c r="K78" s="33">
        <f>+('01_MWh GENERACIÓN'!J82+'01_MWh GENERACIÓN'!K82)/('02_CONSUMO COMBUSTIBLE'!E80+'02_CONSUMO COMBUSTIBLE'!F80)*1000</f>
        <v>10.284982060481804</v>
      </c>
      <c r="L78" s="672">
        <f>+'01_MWh GENERACIÓN'!A82</f>
        <v>42491</v>
      </c>
      <c r="M78" s="33">
        <f>+'01_MWh GENERACIÓN'!B82</f>
        <v>1244.249</v>
      </c>
      <c r="N78" s="33">
        <f>+'01_MWh GENERACIÓN'!C82</f>
        <v>101.251</v>
      </c>
      <c r="O78" s="33">
        <f>+'01_MWh GENERACIÓN'!D82</f>
        <v>1.256</v>
      </c>
      <c r="P78" s="33">
        <f>+'01_MWh GENERACIÓN'!E82</f>
        <v>2445.7719999999999</v>
      </c>
      <c r="Q78" s="33">
        <f>+'01_MWh GENERACIÓN'!F82</f>
        <v>159.274</v>
      </c>
      <c r="R78" s="33">
        <f>+'01_MWh GENERACIÓN'!G82</f>
        <v>335.5067138671875</v>
      </c>
      <c r="S78" s="33">
        <f>+'01_MWh GENERACIÓN'!H82</f>
        <v>447.03699999999998</v>
      </c>
      <c r="T78" s="33"/>
      <c r="U78" s="33">
        <f>+'01_MWh GENERACIÓN'!J82</f>
        <v>20.065999999999999</v>
      </c>
      <c r="V78" s="33">
        <f>+'01_MWh GENERACIÓN'!K82</f>
        <v>0</v>
      </c>
      <c r="W78" s="33">
        <f>+'01_MWh GENERACIÓN'!L82</f>
        <v>2.2814800000000002</v>
      </c>
      <c r="X78" s="33">
        <f>+'01_MWh GENERACIÓN'!M82</f>
        <v>4756.6931938671869</v>
      </c>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s="4" customFormat="1" hidden="1">
      <c r="A79" s="196">
        <v>42522</v>
      </c>
      <c r="B79" s="199">
        <f t="shared" si="1"/>
        <v>17020.339190398114</v>
      </c>
      <c r="C79" s="199">
        <f t="shared" si="2"/>
        <v>36361.762299400856</v>
      </c>
      <c r="D79" s="93">
        <v>0</v>
      </c>
      <c r="E79" s="974">
        <f t="shared" si="3"/>
        <v>1959.0855561584374</v>
      </c>
      <c r="F79" s="357">
        <f t="shared" si="4"/>
        <v>55341.187045957406</v>
      </c>
      <c r="G79" s="742">
        <f>+F79/'02_CONSUMO COMBUSTIBLE'!G81</f>
        <v>0.21974129946339407</v>
      </c>
      <c r="H79" s="33">
        <f>+'01_MWh GENERACIÓN'!B83/'02_CONSUMO COMBUSTIBLE'!B81*1000</f>
        <v>11.590955843658804</v>
      </c>
      <c r="I79" s="33">
        <f>+'01_MWh GENERACIÓN'!E83/'02_CONSUMO COMBUSTIBLE'!C81*1000</f>
        <v>14.968078161719903</v>
      </c>
      <c r="J79" s="33">
        <f>+'01_MWh GENERACIÓN'!H83/'02_CONSUMO COMBUSTIBLE'!D81*1000</f>
        <v>13.589600027994539</v>
      </c>
      <c r="K79" s="33">
        <f>+('01_MWh GENERACIÓN'!J83+'01_MWh GENERACIÓN'!K83)/('02_CONSUMO COMBUSTIBLE'!E81+'02_CONSUMO COMBUSTIBLE'!F81)*1000</f>
        <v>10.296089385474858</v>
      </c>
      <c r="L79" s="672">
        <f>+'01_MWh GENERACIÓN'!A83</f>
        <v>42522</v>
      </c>
      <c r="M79" s="33">
        <f>+'01_MWh GENERACIÓN'!B83</f>
        <v>969.14299999999992</v>
      </c>
      <c r="N79" s="33">
        <f>+'01_MWh GENERACIÓN'!C83</f>
        <v>196.02799999999999</v>
      </c>
      <c r="O79" s="33">
        <f>+'01_MWh GENERACIÓN'!D83</f>
        <v>1.254</v>
      </c>
      <c r="P79" s="33">
        <f>+'01_MWh GENERACIÓN'!E83</f>
        <v>2063.6189999999997</v>
      </c>
      <c r="Q79" s="33">
        <f>+'01_MWh GENERACIÓN'!F83</f>
        <v>144.24799999999999</v>
      </c>
      <c r="R79" s="33">
        <f>+'01_MWh GENERACIÓN'!G83</f>
        <v>400.01770019531205</v>
      </c>
      <c r="S79" s="33">
        <f>+'01_MWh GENERACIÓN'!H83</f>
        <v>388.34999999999997</v>
      </c>
      <c r="T79" s="33"/>
      <c r="U79" s="33">
        <f>+'01_MWh GENERACIÓN'!J83</f>
        <v>18.429999999999996</v>
      </c>
      <c r="V79" s="33">
        <f>+'01_MWh GENERACIÓN'!K83</f>
        <v>0</v>
      </c>
      <c r="W79" s="33">
        <f>+'01_MWh GENERACIÓN'!L83</f>
        <v>1.74092</v>
      </c>
      <c r="X79" s="33">
        <f>+'01_MWh GENERACIÓN'!M83</f>
        <v>4182.8306201953119</v>
      </c>
      <c r="Y79" s="1123">
        <f>SUM(F74:F79)</f>
        <v>239636.97763920965</v>
      </c>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s="4" customFormat="1" hidden="1">
      <c r="A80" s="196">
        <v>42552</v>
      </c>
      <c r="B80" s="199">
        <f t="shared" si="1"/>
        <v>19718.344774955553</v>
      </c>
      <c r="C80" s="199">
        <f t="shared" si="2"/>
        <v>38327.459118320599</v>
      </c>
      <c r="D80" s="93">
        <v>0</v>
      </c>
      <c r="E80" s="974">
        <f t="shared" si="3"/>
        <v>2478.4104803493451</v>
      </c>
      <c r="F80" s="357">
        <f t="shared" si="4"/>
        <v>60524.214373625502</v>
      </c>
      <c r="G80" s="742">
        <f>+F80/'02_CONSUMO COMBUSTIBLE'!G82</f>
        <v>0.26432442722904703</v>
      </c>
      <c r="H80" s="33">
        <f>+'01_MWh GENERACIÓN'!B84/'02_CONSUMO COMBUSTIBLE'!B82*1000</f>
        <v>12.157460615278259</v>
      </c>
      <c r="I80" s="33">
        <f>+'01_MWh GENERACIÓN'!E84/'02_CONSUMO COMBUSTIBLE'!C82*1000</f>
        <v>14.944741394817729</v>
      </c>
      <c r="J80" s="33">
        <f>+'01_MWh GENERACIÓN'!H84/'02_CONSUMO COMBUSTIBLE'!D82*1000</f>
        <v>13.723582067377336</v>
      </c>
      <c r="K80" s="33">
        <f>+('01_MWh GENERACIÓN'!J84+'01_MWh GENERACIÓN'!K84)/('02_CONSUMO COMBUSTIBLE'!E82+'02_CONSUMO COMBUSTIBLE'!F82)*1000</f>
        <v>10.40909090909091</v>
      </c>
      <c r="L80" s="672">
        <f>+'01_MWh GENERACIÓN'!A84</f>
        <v>42552</v>
      </c>
      <c r="M80" s="33">
        <f>+'01_MWh GENERACIÓN'!B84</f>
        <v>879.28833900000006</v>
      </c>
      <c r="N80" s="33">
        <f>+'01_MWh GENERACIÓN'!C84</f>
        <v>238.99199999999999</v>
      </c>
      <c r="O80" s="33">
        <f>+'01_MWh GENERACIÓN'!D84</f>
        <v>0.73299999999999998</v>
      </c>
      <c r="P80" s="33">
        <f>+'01_MWh GENERACIÓN'!E84</f>
        <v>1910.81969</v>
      </c>
      <c r="Q80" s="33">
        <f>+'01_MWh GENERACIÓN'!F84</f>
        <v>135.72999999999999</v>
      </c>
      <c r="R80" s="33">
        <f>+'01_MWh GENERACIÓN'!G84</f>
        <v>437.06396484375</v>
      </c>
      <c r="S80" s="33">
        <f>+'01_MWh GENERACIÓN'!H84</f>
        <v>369.48</v>
      </c>
      <c r="T80" s="33"/>
      <c r="U80" s="33">
        <f>+'01_MWh GENERACIÓN'!J84</f>
        <v>19.465</v>
      </c>
      <c r="V80" s="33">
        <v>4.55</v>
      </c>
      <c r="W80" s="33">
        <f>+'01_MWh GENERACIÓN'!L84</f>
        <v>1.7829999999999999</v>
      </c>
      <c r="X80" s="33">
        <f>+'01_MWh GENERACIÓN'!M84</f>
        <v>3993.3549938437504</v>
      </c>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s="4" customFormat="1" hidden="1">
      <c r="A81" s="196">
        <v>42583</v>
      </c>
      <c r="B81" s="199">
        <f>(N81+O81)/H81*1000</f>
        <v>17242.09898929251</v>
      </c>
      <c r="C81" s="199">
        <f t="shared" si="2"/>
        <v>46386.693067059241</v>
      </c>
      <c r="D81" s="93">
        <v>0</v>
      </c>
      <c r="E81" s="974">
        <f t="shared" si="3"/>
        <v>2503.3930623536926</v>
      </c>
      <c r="F81" s="357">
        <f t="shared" si="4"/>
        <v>66132.185118705442</v>
      </c>
      <c r="G81" s="742">
        <f>+F81/'02_CONSUMO COMBUSTIBLE'!G83</f>
        <v>0.3019431209559626</v>
      </c>
      <c r="H81" s="33">
        <f>+'01_MWh GENERACIÓN'!B85/'02_CONSUMO COMBUSTIBLE'!B83*1000</f>
        <v>12.322513641288291</v>
      </c>
      <c r="I81" s="33">
        <f>+'01_MWh GENERACIÓN'!E85/'02_CONSUMO COMBUSTIBLE'!C83*1000</f>
        <v>14.394243106504605</v>
      </c>
      <c r="J81" s="33">
        <f>+'01_MWh GENERACIÓN'!H85/'02_CONSUMO COMBUSTIBLE'!D83*1000</f>
        <v>12.861101434968093</v>
      </c>
      <c r="K81" s="33">
        <f>+('01_MWh GENERACIÓN'!J85+'01_MWh GENERACIÓN'!K85)/('02_CONSUMO COMBUSTIBLE'!E83+'02_CONSUMO COMBUSTIBLE'!F83)*1000</f>
        <v>10.170995670995671</v>
      </c>
      <c r="L81" s="672">
        <f>+'01_MWh GENERACIÓN'!A85</f>
        <v>42583</v>
      </c>
      <c r="M81" s="33">
        <f>+'01_MWh GENERACIÓN'!B85</f>
        <v>875.77336700000012</v>
      </c>
      <c r="N81" s="33">
        <f>+'01_MWh GENERACIÓN'!C85</f>
        <v>211.261</v>
      </c>
      <c r="O81" s="33">
        <f>+'01_MWh GENERACIÓN'!D85</f>
        <v>1.2050000000000001</v>
      </c>
      <c r="P81" s="33">
        <f>+'01_MWh GENERACIÓN'!E85</f>
        <v>1694.7781299999997</v>
      </c>
      <c r="Q81" s="33">
        <f>+'01_MWh GENERACIÓN'!F85</f>
        <v>156.48099999999999</v>
      </c>
      <c r="R81" s="33">
        <f>+'01_MWh GENERACIÓN'!G85</f>
        <v>511.2203369140625</v>
      </c>
      <c r="S81" s="33">
        <f>+'01_MWh GENERACIÓN'!H85</f>
        <v>364.77942000000002</v>
      </c>
      <c r="T81" s="33"/>
      <c r="U81" s="33">
        <f>+'01_MWh GENERACIÓN'!J85</f>
        <v>18.795999999999999</v>
      </c>
      <c r="V81" s="33">
        <v>4.5199999999999996</v>
      </c>
      <c r="W81" s="33">
        <f>+'01_MWh GENERACIÓN'!L85</f>
        <v>2.1459999999999999</v>
      </c>
      <c r="X81" s="33">
        <f>+'01_MWh GENERACIÓN'!M85</f>
        <v>3836.4402539140619</v>
      </c>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idden="1">
      <c r="A82" s="196">
        <v>42614</v>
      </c>
      <c r="B82" s="199">
        <f t="shared" ref="B82:B89" si="5">(N82+O82)/H82*1000</f>
        <v>3311.7756267559425</v>
      </c>
      <c r="C82" s="199">
        <f t="shared" si="2"/>
        <v>45261.936920677414</v>
      </c>
      <c r="D82" s="93">
        <v>0</v>
      </c>
      <c r="E82" s="974">
        <f t="shared" si="3"/>
        <v>3135.4553317337209</v>
      </c>
      <c r="F82" s="357">
        <f t="shared" si="4"/>
        <v>51709.167879167078</v>
      </c>
      <c r="G82" s="742">
        <f>+F82/'02_CONSUMO COMBUSTIBLE'!G87</f>
        <v>0.19116920791295425</v>
      </c>
      <c r="H82" s="33">
        <f>+'01_MWh GENERACIÓN'!B86/'02_CONSUMO COMBUSTIBLE'!B84*1000</f>
        <v>12.535873404161467</v>
      </c>
      <c r="I82" s="33">
        <f>+'01_MWh GENERACIÓN'!E86/'02_CONSUMO COMBUSTIBLE'!C84*1000</f>
        <v>14.328121882293033</v>
      </c>
      <c r="J82" s="33">
        <f>+'01_MWh GENERACIÓN'!H86/'02_CONSUMO COMBUSTIBLE'!D84*1000</f>
        <v>12.868203689356205</v>
      </c>
      <c r="K82" s="33">
        <f>+('01_MWh GENERACIÓN'!J86+'01_MWh GENERACIÓN'!K86)/('02_CONSUMO COMBUSTIBLE'!E84+'02_CONSUMO COMBUSTIBLE'!F84)*1000</f>
        <v>9.9395452024403763</v>
      </c>
      <c r="L82" s="672">
        <f>+'01_MWh GENERACIÓN'!A86</f>
        <v>42614</v>
      </c>
      <c r="M82" s="33">
        <f>+'01_MWh GENERACIÓN'!B86</f>
        <v>994.68394699999999</v>
      </c>
      <c r="N82" s="33">
        <f>+'01_MWh GENERACIÓN'!C86</f>
        <v>40.042999999999999</v>
      </c>
      <c r="O82" s="33">
        <f>+'01_MWh GENERACIÓN'!D86</f>
        <v>1.4730000000000001</v>
      </c>
      <c r="P82" s="33">
        <f>+'01_MWh GENERACIÓN'!E86</f>
        <v>1688.3542419999997</v>
      </c>
      <c r="Q82" s="33">
        <f>+'01_MWh GENERACIÓN'!F86</f>
        <v>171.28100000000001</v>
      </c>
      <c r="R82" s="33">
        <f>+'01_MWh GENERACIÓN'!G86</f>
        <v>477.237548828125</v>
      </c>
      <c r="S82" s="33">
        <f>+'01_MWh GENERACIÓN'!H86</f>
        <v>348.79266099999995</v>
      </c>
      <c r="T82" s="33"/>
      <c r="U82" s="33">
        <f>+'01_MWh GENERACIÓN'!J86</f>
        <v>17.920999999999999</v>
      </c>
      <c r="V82" s="33">
        <v>11.31</v>
      </c>
      <c r="W82" s="33">
        <f>+'01_MWh GENERACIÓN'!L86</f>
        <v>1.9339999999999999</v>
      </c>
      <c r="X82" s="33">
        <f>+'01_MWh GENERACIÓN'!M86</f>
        <v>3741.7203988281244</v>
      </c>
    </row>
    <row r="83" spans="1:56" hidden="1">
      <c r="A83" s="196">
        <v>42644</v>
      </c>
      <c r="B83" s="199">
        <f t="shared" si="5"/>
        <v>6322.4602845493237</v>
      </c>
      <c r="C83" s="199">
        <f t="shared" si="2"/>
        <v>52456.712273748497</v>
      </c>
      <c r="D83" s="93">
        <v>0</v>
      </c>
      <c r="E83" s="974">
        <f t="shared" si="3"/>
        <v>3258.6582145814414</v>
      </c>
      <c r="F83" s="357">
        <f t="shared" si="4"/>
        <v>62037.830772879257</v>
      </c>
      <c r="G83" s="742">
        <f>+F83/'02_CONSUMO COMBUSTIBLE'!G88</f>
        <v>1.874849436734945E-2</v>
      </c>
      <c r="H83" s="33">
        <f>+'01_MWh GENERACIÓN'!B87/'02_CONSUMO COMBUSTIBLE'!B85*1000</f>
        <v>12.158874321102944</v>
      </c>
      <c r="I83" s="33">
        <f>+'01_MWh GENERACIÓN'!E87/'02_CONSUMO COMBUSTIBLE'!C85*1000</f>
        <v>14.21373867483365</v>
      </c>
      <c r="J83" s="33">
        <f>+'01_MWh GENERACIÓN'!H87/'02_CONSUMO COMBUSTIBLE'!D85*1000</f>
        <v>12.39683721939052</v>
      </c>
      <c r="K83" s="33">
        <f>+('01_MWh GENERACIÓN'!J87+'01_MWh GENERACIÓN'!K87)/('02_CONSUMO COMBUSTIBLE'!E85+'02_CONSUMO COMBUSTIBLE'!F85)*1000</f>
        <v>9.7517440944881884</v>
      </c>
      <c r="L83" s="672">
        <f>+'01_MWh GENERACIÓN'!A87</f>
        <v>42644</v>
      </c>
      <c r="M83" s="33">
        <f>+'01_MWh GENERACIÓN'!B87</f>
        <v>989.51350999999988</v>
      </c>
      <c r="N83" s="33">
        <f>+'01_MWh GENERACIÓN'!C87</f>
        <v>75.542000000000002</v>
      </c>
      <c r="O83" s="33">
        <f>+'01_MWh GENERACIÓN'!D87</f>
        <v>1.3320000000000001</v>
      </c>
      <c r="P83" s="33">
        <f>+'01_MWh GENERACIÓN'!E87</f>
        <v>1685.1669509999999</v>
      </c>
      <c r="Q83" s="33">
        <f>+'01_MWh GENERACIÓN'!F87</f>
        <v>219.53899999999999</v>
      </c>
      <c r="R83" s="33">
        <f>+'01_MWh GENERACIÓN'!G87</f>
        <v>526.06700000000001</v>
      </c>
      <c r="S83" s="33">
        <f>+'01_MWh GENERACIÓN'!H87</f>
        <v>342.93370799999997</v>
      </c>
      <c r="T83" s="33"/>
      <c r="U83" s="33">
        <f>+'01_MWh GENERACIÓN'!J87</f>
        <v>17.338600999999997</v>
      </c>
      <c r="V83" s="33">
        <v>12.17</v>
      </c>
      <c r="W83" s="33">
        <f>+'01_MWh GENERACIÓN'!L87</f>
        <v>2.2690000000000001</v>
      </c>
      <c r="X83" s="33">
        <f>+'01_MWh GENERACIÓN'!M87</f>
        <v>3859.7017699999992</v>
      </c>
    </row>
    <row r="84" spans="1:56" hidden="1">
      <c r="A84" s="196">
        <v>42675</v>
      </c>
      <c r="B84" s="199">
        <f t="shared" si="5"/>
        <v>1489.2437840492134</v>
      </c>
      <c r="C84" s="199">
        <f t="shared" si="2"/>
        <v>53410.724597030952</v>
      </c>
      <c r="D84" s="93">
        <v>0</v>
      </c>
      <c r="E84" s="974">
        <f t="shared" si="3"/>
        <v>2356.014194537021</v>
      </c>
      <c r="F84" s="357">
        <f t="shared" si="4"/>
        <v>57255.982575617185</v>
      </c>
      <c r="G84" s="742">
        <f>+F84/'02_CONSUMO COMBUSTIBLE'!G89</f>
        <v>0.17128765713624153</v>
      </c>
      <c r="H84" s="33">
        <f>+'01_MWh GENERACIÓN'!B88/'02_CONSUMO COMBUSTIBLE'!B86*1000</f>
        <v>12.752781111740664</v>
      </c>
      <c r="I84" s="33">
        <f>+'01_MWh GENERACIÓN'!E88/'02_CONSUMO COMBUSTIBLE'!C86*1000</f>
        <v>14.019670312460526</v>
      </c>
      <c r="J84" s="33">
        <f>+'01_MWh GENERACIÓN'!H88/'02_CONSUMO COMBUSTIBLE'!D86*1000</f>
        <v>12.829544826809771</v>
      </c>
      <c r="K84" s="33">
        <f>+('01_MWh GENERACIÓN'!J88+'01_MWh GENERACIÓN'!K88)/('02_CONSUMO COMBUSTIBLE'!E86+'02_CONSUMO COMBUSTIBLE'!F86)*1000</f>
        <v>10.243642018779344</v>
      </c>
      <c r="L84" s="672">
        <f>+'01_MWh GENERACIÓN'!A88</f>
        <v>42675</v>
      </c>
      <c r="M84" s="33">
        <f>+'01_MWh GENERACIÓN'!B88</f>
        <v>1057.8559459999997</v>
      </c>
      <c r="N84" s="33">
        <f>+'01_MWh GENERACIÓN'!C88</f>
        <v>17.664000000000001</v>
      </c>
      <c r="O84" s="33">
        <f>+'01_MWh GENERACIÓN'!D88</f>
        <v>1.3280000000000001</v>
      </c>
      <c r="P84" s="33">
        <f>+'01_MWh GENERACIÓN'!E88</f>
        <v>1665.0741839999994</v>
      </c>
      <c r="Q84" s="33">
        <f>+'01_MWh GENERACIÓN'!F88</f>
        <v>216.95699999999999</v>
      </c>
      <c r="R84" s="33">
        <f>+'01_MWh GENERACIÓN'!G88</f>
        <v>531.84375</v>
      </c>
      <c r="S84" s="33">
        <f>+'01_MWh GENERACIÓN'!H88</f>
        <v>341.86888099999999</v>
      </c>
      <c r="T84" s="33"/>
      <c r="U84" s="33">
        <f>+'01_MWh GENERACIÓN'!J88</f>
        <v>17.455166000000002</v>
      </c>
      <c r="V84" s="33">
        <v>4.3600000000000003</v>
      </c>
      <c r="W84" s="33">
        <f>+'01_MWh GENERACIÓN'!L88</f>
        <v>2.319</v>
      </c>
      <c r="X84" s="33">
        <f>+'01_MWh GENERACIÓN'!M88</f>
        <v>3852.3659269999989</v>
      </c>
    </row>
    <row r="85" spans="1:56" ht="13.5" hidden="1" thickBot="1">
      <c r="A85" s="197">
        <v>42705</v>
      </c>
      <c r="B85" s="318">
        <f t="shared" si="5"/>
        <v>105.18011008143277</v>
      </c>
      <c r="C85" s="318">
        <f t="shared" si="2"/>
        <v>51850.719691919228</v>
      </c>
      <c r="D85" s="77">
        <v>0</v>
      </c>
      <c r="E85" s="2">
        <f t="shared" si="3"/>
        <v>2483.2915878161311</v>
      </c>
      <c r="F85" s="1014">
        <f t="shared" si="4"/>
        <v>54439.191389816791</v>
      </c>
      <c r="G85" s="742">
        <f>+F85/'02_CONSUMO COMBUSTIBLE'!G90</f>
        <v>0.16037514445118031</v>
      </c>
      <c r="H85" s="33">
        <f>+'01_MWh GENERACIÓN'!B89/'02_CONSUMO COMBUSTIBLE'!B87*1000</f>
        <v>13.605233906791771</v>
      </c>
      <c r="I85" s="33">
        <f>+'01_MWh GENERACIÓN'!E89/'02_CONSUMO COMBUSTIBLE'!C87*1000</f>
        <v>13.893943545392558</v>
      </c>
      <c r="J85" s="33">
        <f>+'01_MWh GENERACIÓN'!H89/'02_CONSUMO COMBUSTIBLE'!D87*1000</f>
        <v>13.197916322416468</v>
      </c>
      <c r="K85" s="33">
        <f>+('01_MWh GENERACIÓN'!J89+'01_MWh GENERACIÓN'!K89)/('02_CONSUMO COMBUSTIBLE'!E87+'02_CONSUMO COMBUSTIBLE'!F87)*1000</f>
        <v>10.55042554347826</v>
      </c>
      <c r="L85" s="672">
        <f>+'01_MWh GENERACIÓN'!A89</f>
        <v>42705</v>
      </c>
      <c r="M85" s="33">
        <f>+'01_MWh GENERACIÓN'!B89</f>
        <v>1228.15807</v>
      </c>
      <c r="N85" s="33">
        <f>+'01_MWh GENERACIÓN'!C89</f>
        <v>0</v>
      </c>
      <c r="O85" s="33">
        <f>+'01_MWh GENERACIÓN'!D89</f>
        <v>1.431</v>
      </c>
      <c r="P85" s="33">
        <f>+'01_MWh GENERACIÓN'!E89</f>
        <v>2057.9570239999998</v>
      </c>
      <c r="Q85" s="33">
        <f>+'01_MWh GENERACIÓN'!F89</f>
        <v>209.489</v>
      </c>
      <c r="R85" s="33">
        <f>+'01_MWh GENERACIÓN'!G89</f>
        <v>510.92197218749999</v>
      </c>
      <c r="S85" s="33">
        <f>+'01_MWh GENERACIÓN'!H89</f>
        <v>399.35574999999989</v>
      </c>
      <c r="T85" s="33"/>
      <c r="U85" s="33">
        <f>+'01_MWh GENERACIÓN'!J89</f>
        <v>19.412783000000001</v>
      </c>
      <c r="V85" s="1">
        <v>4.8499999999999996</v>
      </c>
      <c r="W85" s="33">
        <f>+'01_MWh GENERACIÓN'!L89</f>
        <v>1.9370000000000001</v>
      </c>
      <c r="X85" s="33">
        <f>+'01_MWh GENERACIÓN'!M89</f>
        <v>4428.6625991874998</v>
      </c>
    </row>
    <row r="86" spans="1:56" hidden="1">
      <c r="A86" s="1168" t="s">
        <v>826</v>
      </c>
      <c r="B86" s="178">
        <f t="shared" si="5"/>
        <v>2214.0820082341825</v>
      </c>
      <c r="C86" s="178">
        <f t="shared" si="2"/>
        <v>25940.343793218963</v>
      </c>
      <c r="D86" s="1135">
        <v>0</v>
      </c>
      <c r="E86" s="1170">
        <f t="shared" si="3"/>
        <v>1978.1071520143064</v>
      </c>
      <c r="F86" s="1015">
        <f t="shared" si="4"/>
        <v>30132.532953467449</v>
      </c>
      <c r="G86" s="742">
        <f>+F86/'02_CONSUMO COMBUSTIBLE'!G91</f>
        <v>8.0360535795348936E-2</v>
      </c>
      <c r="H86" s="33">
        <f>+'01_MWh GENERACIÓN'!B91/'02_CONSUMO COMBUSTIBLE'!B89*1000</f>
        <v>13.621247942867591</v>
      </c>
      <c r="I86" s="33">
        <f>+'01_MWh GENERACIÓN'!E91/'02_CONSUMO COMBUSTIBLE'!C89*1000</f>
        <v>13.924563142164214</v>
      </c>
      <c r="J86" s="33">
        <f>+'01_MWh GENERACIÓN'!H91/'02_CONSUMO COMBUSTIBLE'!D89*1000</f>
        <v>13.141065990135493</v>
      </c>
      <c r="K86" s="33">
        <f>+('01_MWh GENERACIÓN'!J91+'01_MWh GENERACIÓN'!K91)/('02_CONSUMO COMBUSTIBLE'!E89+'02_CONSUMO COMBUSTIBLE'!F89)*1000</f>
        <v>10.612279005524861</v>
      </c>
      <c r="L86" s="672">
        <f>'01_MWh GENERACIÓN'!A91</f>
        <v>42736</v>
      </c>
      <c r="M86" s="5">
        <f>'01_MWh GENERACIÓN'!B91</f>
        <v>1340.848405</v>
      </c>
      <c r="N86" s="644">
        <f>'01_MWh GENERACIÓN'!C91</f>
        <v>28.948560000000001</v>
      </c>
      <c r="O86" s="644">
        <f>'01_MWh GENERACIÓN'!D91</f>
        <v>1.21</v>
      </c>
      <c r="P86" s="644">
        <f>'01_MWh GENERACIÓN'!E91</f>
        <v>2767.395528</v>
      </c>
      <c r="Q86" s="644">
        <f>'01_MWh GENERACIÓN'!F91</f>
        <v>219.779</v>
      </c>
      <c r="R86" s="644">
        <f>'01_MWh GENERACIÓN'!G91</f>
        <v>141.428955078125</v>
      </c>
      <c r="S86" s="644">
        <f>'01_MWh GENERACIÓN'!H91</f>
        <v>463.59052599999995</v>
      </c>
      <c r="T86" s="644"/>
      <c r="U86" s="644">
        <f>'01_MWh GENERACIÓN'!J91</f>
        <v>19.208224999999999</v>
      </c>
      <c r="V86" s="644">
        <f>'01_MWh GENERACIÓN'!K91</f>
        <v>0</v>
      </c>
      <c r="W86" s="644">
        <f>'01_MWh GENERACIÓN'!L91</f>
        <v>1.784</v>
      </c>
      <c r="X86" s="644">
        <f>'01_MWh GENERACIÓN'!$M$91</f>
        <v>4984.193199078125</v>
      </c>
    </row>
    <row r="87" spans="1:56" hidden="1">
      <c r="A87" s="1169">
        <v>42767</v>
      </c>
      <c r="B87" s="92">
        <f t="shared" si="5"/>
        <v>478.7131797253993</v>
      </c>
      <c r="C87" s="92">
        <f t="shared" si="2"/>
        <v>23275.078542692736</v>
      </c>
      <c r="D87" s="1129">
        <v>0</v>
      </c>
      <c r="E87" s="1171">
        <f t="shared" si="3"/>
        <v>2012.2228309476209</v>
      </c>
      <c r="F87" s="1136">
        <f t="shared" si="4"/>
        <v>25766.014553365756</v>
      </c>
      <c r="G87" s="742">
        <f>+F87/'02_CONSUMO COMBUSTIBLE'!G92</f>
        <v>7.2256940635350778E-2</v>
      </c>
      <c r="H87" s="33">
        <f>+'01_MWh GENERACIÓN'!B92/'02_CONSUMO COMBUSTIBLE'!B90*1000</f>
        <v>13.881089217043531</v>
      </c>
      <c r="I87" s="33">
        <f>+'01_MWh GENERACIÓN'!E92/'02_CONSUMO COMBUSTIBLE'!C90*1000</f>
        <v>14.05374921673131</v>
      </c>
      <c r="J87" s="33">
        <f>+'01_MWh GENERACIÓN'!H92/'02_CONSUMO COMBUSTIBLE'!D90*1000</f>
        <v>13.46191477194243</v>
      </c>
      <c r="K87" s="33">
        <f>+('01_MWh GENERACIÓN'!J92+'01_MWh GENERACIÓN'!K92)/('02_CONSUMO COMBUSTIBLE'!E90+'02_CONSUMO COMBUSTIBLE'!F90)*1000</f>
        <v>10.830320909209126</v>
      </c>
      <c r="L87" s="672">
        <f>'01_MWh GENERACIÓN'!A92</f>
        <v>42767</v>
      </c>
      <c r="M87" s="5">
        <f>'01_MWh GENERACIÓN'!B92</f>
        <v>1353.614415</v>
      </c>
      <c r="N87" s="644">
        <f>'01_MWh GENERACIÓN'!C92</f>
        <v>5.4316317857142904</v>
      </c>
      <c r="O87" s="644">
        <f>'01_MWh GENERACIÓN'!D92</f>
        <v>1.213428571428572</v>
      </c>
      <c r="P87" s="644">
        <f>'01_MWh GENERACIÓN'!E92</f>
        <v>2866.3043140000009</v>
      </c>
      <c r="Q87" s="644">
        <f>'01_MWh GENERACIÓN'!F92</f>
        <v>261.54039285714282</v>
      </c>
      <c r="R87" s="644">
        <f>'01_MWh GENERACIÓN'!G92</f>
        <v>65.561723981584905</v>
      </c>
      <c r="S87" s="644">
        <f>'01_MWh GENERACIÓN'!H92</f>
        <v>487.28092900000013</v>
      </c>
      <c r="T87" s="644"/>
      <c r="U87" s="644">
        <f>'01_MWh GENERACIÓN'!J92</f>
        <v>19.321899000000002</v>
      </c>
      <c r="V87" s="644"/>
      <c r="W87" s="644">
        <f>'01_MWh GENERACIÓN'!L92</f>
        <v>2.47112</v>
      </c>
      <c r="X87" s="644">
        <f>'01_MWh GENERACIÓN'!$M$92</f>
        <v>5062.7398541958719</v>
      </c>
    </row>
    <row r="88" spans="1:56" hidden="1">
      <c r="A88" s="1169">
        <v>42795</v>
      </c>
      <c r="B88" s="92">
        <f t="shared" si="5"/>
        <v>3897.8694754821518</v>
      </c>
      <c r="C88" s="92">
        <f t="shared" si="2"/>
        <v>17243.601572278287</v>
      </c>
      <c r="D88" s="1129">
        <v>0</v>
      </c>
      <c r="E88" s="1171">
        <f t="shared" si="3"/>
        <v>2249.1681742660912</v>
      </c>
      <c r="F88" s="1136">
        <f t="shared" si="4"/>
        <v>23390.63922202653</v>
      </c>
      <c r="G88" s="742">
        <f>+F88/'02_CONSUMO COMBUSTIBLE'!G93</f>
        <v>7.3882945764233141E-2</v>
      </c>
      <c r="H88" s="33">
        <f>+'01_MWh GENERACIÓN'!B93/'02_CONSUMO COMBUSTIBLE'!B91*1000</f>
        <v>13.706703105097796</v>
      </c>
      <c r="I88" s="33">
        <f>+'01_MWh GENERACIÓN'!E93/'02_CONSUMO COMBUSTIBLE'!C91*1000</f>
        <v>14.384579595710013</v>
      </c>
      <c r="J88" s="33">
        <f>+'01_MWh GENERACIÓN'!H93/'02_CONSUMO COMBUSTIBLE'!D91*1000</f>
        <v>12.559937423932762</v>
      </c>
      <c r="K88" s="33">
        <f>+('01_MWh GENERACIÓN'!J93+'01_MWh GENERACIÓN'!K93)/('02_CONSUMO COMBUSTIBLE'!E91+'02_CONSUMO COMBUSTIBLE'!F91)*1000</f>
        <v>10.811180007886437</v>
      </c>
      <c r="L88" s="672">
        <f>'01_MWh GENERACIÓN'!A93</f>
        <v>42795</v>
      </c>
      <c r="M88" s="5">
        <f>'01_MWh GENERACIÓN'!B93</f>
        <v>1452.732342</v>
      </c>
      <c r="N88" s="644">
        <f>'01_MWh GENERACIÓN'!C93</f>
        <v>52.237368214285702</v>
      </c>
      <c r="O88" s="644">
        <f>'01_MWh GENERACIÓN'!D93</f>
        <v>1.1895714285714287</v>
      </c>
      <c r="P88" s="644">
        <f>'01_MWh GENERACIÓN'!E93</f>
        <v>3213.5726199999999</v>
      </c>
      <c r="Q88" s="644">
        <f>'01_MWh GENERACIÓN'!F93</f>
        <v>212.76310714285717</v>
      </c>
      <c r="R88" s="644">
        <f>'01_MWh GENERACIÓN'!G93</f>
        <v>35.278852190290173</v>
      </c>
      <c r="S88" s="644">
        <f>'01_MWh GENERACIÓN'!H93</f>
        <v>546.94759499999998</v>
      </c>
      <c r="T88" s="644"/>
      <c r="U88" s="644">
        <f>'01_MWh GENERACIÓN'!J93</f>
        <v>21.933722000000003</v>
      </c>
      <c r="V88" s="644"/>
      <c r="W88" s="644">
        <f>'01_MWh GENERACIÓN'!L93</f>
        <v>2.3824399999999999</v>
      </c>
      <c r="X88" s="644">
        <f>'01_MWh GENERACIÓN'!M93</f>
        <v>5539.0376179760042</v>
      </c>
    </row>
    <row r="89" spans="1:56" hidden="1">
      <c r="A89" s="1169">
        <v>42826</v>
      </c>
      <c r="B89" s="92">
        <f t="shared" si="5"/>
        <v>1308.6001459700801</v>
      </c>
      <c r="C89" s="92">
        <f t="shared" si="2"/>
        <v>29235.358162737895</v>
      </c>
      <c r="D89" s="1129">
        <v>0</v>
      </c>
      <c r="E89" s="1171">
        <f t="shared" si="3"/>
        <v>2182.6043632801498</v>
      </c>
      <c r="F89" s="1136">
        <f>SUM(B89:E89)</f>
        <v>32726.562671988122</v>
      </c>
      <c r="G89" s="742">
        <f>+F89/'02_CONSUMO COMBUSTIBLE'!G92</f>
        <v>9.1776758539478295E-2</v>
      </c>
      <c r="H89" s="33">
        <f>+'01_MWh GENERACIÓN'!B94/'02_CONSUMO COMBUSTIBLE'!B92*1000</f>
        <v>13.451771386553455</v>
      </c>
      <c r="I89" s="33">
        <f>+'01_MWh GENERACIÓN'!E94/'02_CONSUMO COMBUSTIBLE'!C92*1000</f>
        <v>14.855235485144059</v>
      </c>
      <c r="J89" s="33">
        <f>+'01_MWh GENERACIÓN'!H94/'02_CONSUMO COMBUSTIBLE'!D92*1000</f>
        <v>12.368323278144931</v>
      </c>
      <c r="K89" s="33">
        <f>+('01_MWh GENERACIÓN'!J94+'01_MWh GENERACIÓN'!K94)/('02_CONSUMO COMBUSTIBLE'!E92+'02_CONSUMO COMBUSTIBLE'!F92)*1000</f>
        <v>10.602566085418246</v>
      </c>
      <c r="L89" s="672">
        <f>'01_MWh GENERACIÓN'!A94</f>
        <v>42826</v>
      </c>
      <c r="M89" s="5">
        <f>'01_MWh GENERACIÓN'!B94</f>
        <v>1454.3651669999999</v>
      </c>
      <c r="N89" s="644">
        <f>'01_MWh GENERACIÓN'!C94</f>
        <v>16.227989999999998</v>
      </c>
      <c r="O89" s="644">
        <f>'01_MWh GENERACIÓN'!D94</f>
        <v>1.375</v>
      </c>
      <c r="P89" s="644">
        <f>'01_MWh GENERACIÓN'!E94</f>
        <v>3016.5974589999996</v>
      </c>
      <c r="Q89" s="644">
        <f>'01_MWh GENERACIÓN'!F94</f>
        <v>262.02460000000002</v>
      </c>
      <c r="R89" s="644">
        <f>'01_MWh GENERACIÓN'!G94</f>
        <v>172.27353000000002</v>
      </c>
      <c r="S89" s="644">
        <f>'01_MWh GENERACIÓN'!H94</f>
        <v>537.11917499999993</v>
      </c>
      <c r="T89" s="644"/>
      <c r="U89" s="644">
        <f>'01_MWh GENERACIÓN'!J94</f>
        <v>20.977177000000001</v>
      </c>
      <c r="V89" s="644"/>
      <c r="W89" s="644">
        <f>'01_MWh GENERACIÓN'!L94</f>
        <v>2.1640299999999999</v>
      </c>
      <c r="X89" s="644">
        <f>'01_MWh GENERACIÓN'!M94</f>
        <v>5483.1241279999995</v>
      </c>
    </row>
    <row r="90" spans="1:56" hidden="1">
      <c r="A90" s="1169">
        <v>42856</v>
      </c>
      <c r="B90" s="92">
        <f t="shared" ref="B90:B101" si="6">(N90+O90)/H90*1000</f>
        <v>19305.574418553133</v>
      </c>
      <c r="C90" s="92">
        <f>(Q90+R90)/I90*1000</f>
        <v>45916.12324506016</v>
      </c>
      <c r="D90" s="1129">
        <v>0</v>
      </c>
      <c r="E90" s="1171">
        <f>+(U90+V90+W90)/K90*1000</f>
        <v>2079.5674541979242</v>
      </c>
      <c r="F90" s="1136">
        <f>SUM(B90:E90)</f>
        <v>67301.265117811214</v>
      </c>
      <c r="G90" s="742">
        <f>+F90/'02_CONSUMO COMBUSTIBLE'!G93</f>
        <v>0.21258143795750101</v>
      </c>
      <c r="H90" s="33">
        <f>+'01_MWh GENERACIÓN'!B95/'02_CONSUMO COMBUSTIBLE'!B93*1000</f>
        <v>12.900442359314438</v>
      </c>
      <c r="I90" s="33">
        <f>+'01_MWh GENERACIÓN'!E95/'02_CONSUMO COMBUSTIBLE'!C93*1000</f>
        <v>14.363627951123989</v>
      </c>
      <c r="J90" s="33">
        <f>+'01_MWh GENERACIÓN'!H95/'02_CONSUMO COMBUSTIBLE'!D93*1000</f>
        <v>12.480989708361644</v>
      </c>
      <c r="K90" s="33">
        <f>+('01_MWh GENERACIÓN'!J95+'01_MWh GENERACIÓN'!K95)/('02_CONSUMO COMBUSTIBLE'!E93+'02_CONSUMO COMBUSTIBLE'!F93)*1000</f>
        <v>10.831462068965518</v>
      </c>
      <c r="L90" s="672">
        <f>'01_MWh GENERACIÓN'!A95</f>
        <v>42856</v>
      </c>
      <c r="M90" s="5">
        <v>1193.8976210000001</v>
      </c>
      <c r="N90" s="644">
        <v>247.92945</v>
      </c>
      <c r="O90" s="644">
        <v>1.121</v>
      </c>
      <c r="P90" s="644">
        <v>2620.17677</v>
      </c>
      <c r="Q90" s="644">
        <v>221.37260000000001</v>
      </c>
      <c r="R90" s="644">
        <v>438.14951125000005</v>
      </c>
      <c r="S90" s="644">
        <v>496.00701200000003</v>
      </c>
      <c r="T90" s="644"/>
      <c r="U90" s="644">
        <v>20.417306</v>
      </c>
      <c r="V90" s="644"/>
      <c r="W90" s="644">
        <v>2.1074499999999996</v>
      </c>
      <c r="X90" s="644">
        <f>'01_MWh GENERACIÓN'!M95</f>
        <v>5241.1787202500009</v>
      </c>
    </row>
    <row r="91" spans="1:56" hidden="1">
      <c r="A91" s="1169">
        <v>42887</v>
      </c>
      <c r="B91" s="92">
        <f t="shared" si="6"/>
        <v>16661.146238420046</v>
      </c>
      <c r="C91" s="92">
        <f t="shared" ref="C91:C99" si="7">(Q91+R91)/I91*1000</f>
        <v>51119.654423603337</v>
      </c>
      <c r="D91" s="1129">
        <v>0</v>
      </c>
      <c r="E91" s="1171">
        <f t="shared" ref="E91:E104" si="8">+(U91+V91+W91)/K91*1000</f>
        <v>1963.6866263893289</v>
      </c>
      <c r="F91" s="1136">
        <f>SUM(B91:E91)</f>
        <v>69744.487288412711</v>
      </c>
      <c r="G91" s="742">
        <f>+F91/'02_CONSUMO COMBUSTIBLE'!G94</f>
        <v>0.27050500295617858</v>
      </c>
      <c r="H91" s="33">
        <f>+'01_MWh GENERACIÓN'!B96/'02_CONSUMO COMBUSTIBLE'!B94*1000</f>
        <v>12.494178492952249</v>
      </c>
      <c r="I91" s="33">
        <f>+'01_MWh GENERACIÓN'!E96/'02_CONSUMO COMBUSTIBLE'!C94*1000</f>
        <v>14.210330025643499</v>
      </c>
      <c r="J91" s="33">
        <f>+'01_MWh GENERACIÓN'!H96/'02_CONSUMO COMBUSTIBLE'!D94*1000</f>
        <v>12.215238970373402</v>
      </c>
      <c r="K91" s="33">
        <f>+('01_MWh GENERACIÓN'!J96+'01_MWh GENERACIÓN'!K96)/('02_CONSUMO COMBUSTIBLE'!E94+'02_CONSUMO COMBUSTIBLE'!F94)*1000</f>
        <v>10.557378515185603</v>
      </c>
      <c r="L91" s="672">
        <f>'01_MWh GENERACIÓN'!A96</f>
        <v>42887</v>
      </c>
      <c r="M91" s="5">
        <v>1018.0887120000002</v>
      </c>
      <c r="N91" s="644">
        <v>206.86087499999999</v>
      </c>
      <c r="O91" s="644">
        <v>1.3064600000000064</v>
      </c>
      <c r="P91" s="644">
        <v>1994.3008499999999</v>
      </c>
      <c r="Q91" s="644">
        <v>181.28800000000001</v>
      </c>
      <c r="R91" s="644">
        <v>545.13916015625</v>
      </c>
      <c r="S91" s="644">
        <v>418.07876900000008</v>
      </c>
      <c r="T91" s="644"/>
      <c r="U91" s="644">
        <v>18.771018999999999</v>
      </c>
      <c r="V91" s="644"/>
      <c r="W91" s="644">
        <v>1.960364</v>
      </c>
      <c r="X91" s="644">
        <f>'01_MWh GENERACIÓN'!M96</f>
        <v>4385.79420915625</v>
      </c>
      <c r="Y91" s="1123"/>
      <c r="Z91" s="32"/>
    </row>
    <row r="92" spans="1:56" hidden="1">
      <c r="A92" s="1169">
        <v>42917</v>
      </c>
      <c r="B92" s="92">
        <f t="shared" si="6"/>
        <v>16551.304734441568</v>
      </c>
      <c r="C92" s="92">
        <f t="shared" si="7"/>
        <v>35095.11268995615</v>
      </c>
      <c r="D92" s="1129"/>
      <c r="E92" s="1171">
        <f t="shared" si="8"/>
        <v>2075.9150704297772</v>
      </c>
      <c r="F92" s="1136">
        <f t="shared" ref="F92:F102" si="9">SUM(B92:E92)</f>
        <v>53722.332494827497</v>
      </c>
      <c r="G92" s="742">
        <f>+F92/'02_CONSUMO COMBUSTIBLE'!G95</f>
        <v>0.20702715958519632</v>
      </c>
      <c r="H92" s="33">
        <f>+'01_MWh GENERACIÓN'!B97/'02_CONSUMO COMBUSTIBLE'!B95*1000</f>
        <v>12.38271275143161</v>
      </c>
      <c r="I92" s="33">
        <f>+'01_MWh GENERACIÓN'!E97/'02_CONSUMO COMBUSTIBLE'!C95*1000</f>
        <v>14.279831311267579</v>
      </c>
      <c r="J92" s="33">
        <f>+'01_MWh GENERACIÓN'!H97/'02_CONSUMO COMBUSTIBLE'!D95*1000</f>
        <v>12.672377112039403</v>
      </c>
      <c r="K92" s="33">
        <f>+('01_MWh GENERACIÓN'!J97+'01_MWh GENERACIÓN'!K97)/('02_CONSUMO COMBUSTIBLE'!E95+'02_CONSUMO COMBUSTIBLE'!F95)*1000</f>
        <v>10.42790733992712</v>
      </c>
      <c r="L92" s="672">
        <v>42917</v>
      </c>
      <c r="M92" s="5">
        <v>961.81778899999995</v>
      </c>
      <c r="N92" s="644">
        <v>203.59174218800001</v>
      </c>
      <c r="O92" s="644">
        <v>1.3583099999999999</v>
      </c>
      <c r="P92" s="644">
        <v>2110.8573769999998</v>
      </c>
      <c r="Q92" s="644">
        <v>168.70599999999999</v>
      </c>
      <c r="R92" s="644">
        <v>332.4462890625</v>
      </c>
      <c r="S92" s="644">
        <v>406.50451299999997</v>
      </c>
      <c r="T92" s="644"/>
      <c r="U92" s="644">
        <v>20.03201</v>
      </c>
      <c r="V92" s="644"/>
      <c r="W92" s="644">
        <v>1.61544</v>
      </c>
      <c r="X92" s="644">
        <v>4206.9294702504994</v>
      </c>
      <c r="Y92" s="1123"/>
      <c r="Z92" s="32"/>
    </row>
    <row r="93" spans="1:56" hidden="1">
      <c r="A93" s="1169">
        <v>42948</v>
      </c>
      <c r="B93" s="92">
        <f t="shared" si="6"/>
        <v>18270.577665133929</v>
      </c>
      <c r="C93" s="92">
        <f t="shared" si="7"/>
        <v>54954.327432802565</v>
      </c>
      <c r="D93" s="1129"/>
      <c r="E93" s="1171">
        <f t="shared" si="8"/>
        <v>2152.6609405424992</v>
      </c>
      <c r="F93" s="1136">
        <f t="shared" si="9"/>
        <v>75377.566038478995</v>
      </c>
      <c r="G93" s="742">
        <f>+F93/'02_CONSUMO COMBUSTIBLE'!G96</f>
        <v>0.32587400283274703</v>
      </c>
      <c r="H93" s="33">
        <f>+'01_MWh GENERACIÓN'!B98/'02_CONSUMO COMBUSTIBLE'!B96*1000</f>
        <v>12.278992712316933</v>
      </c>
      <c r="I93" s="33">
        <f>+'01_MWh GENERACIÓN'!E98/'02_CONSUMO COMBUSTIBLE'!C96*1000</f>
        <v>14.066608329348403</v>
      </c>
      <c r="J93" s="33">
        <f>+'01_MWh GENERACIÓN'!H98/'02_CONSUMO COMBUSTIBLE'!D96*1000</f>
        <v>12.282024680363843</v>
      </c>
      <c r="K93" s="33">
        <f>+('01_MWh GENERACIÓN'!J98+'01_MWh GENERACIÓN'!K98)/('02_CONSUMO COMBUSTIBLE'!E96+'02_CONSUMO COMBUSTIBLE'!F96)*1000</f>
        <v>10.261966751918159</v>
      </c>
      <c r="L93" s="672">
        <v>42948</v>
      </c>
      <c r="M93" s="5">
        <v>888.948577</v>
      </c>
      <c r="N93" s="644">
        <v>222.97694000000001</v>
      </c>
      <c r="O93" s="644">
        <v>1.3673500000000098</v>
      </c>
      <c r="P93" s="644">
        <v>1765.584969</v>
      </c>
      <c r="Q93" s="644">
        <v>180.90600000000001</v>
      </c>
      <c r="R93" s="644">
        <v>592.11500000000001</v>
      </c>
      <c r="S93" s="644">
        <v>386.17142000000001</v>
      </c>
      <c r="T93" s="644"/>
      <c r="U93" s="644">
        <v>20.062145000000001</v>
      </c>
      <c r="V93" s="644"/>
      <c r="W93" s="644">
        <v>2.0283899999999999</v>
      </c>
      <c r="X93" s="644">
        <v>4060.1607910000002</v>
      </c>
      <c r="Y93" s="1123"/>
      <c r="Z93" s="32"/>
    </row>
    <row r="94" spans="1:56" hidden="1">
      <c r="A94" s="1169">
        <v>42979</v>
      </c>
      <c r="B94" s="92">
        <f t="shared" si="6"/>
        <v>18957.385120402996</v>
      </c>
      <c r="C94" s="92">
        <f t="shared" si="7"/>
        <v>55886.576912869954</v>
      </c>
      <c r="D94" s="1129"/>
      <c r="E94" s="1171">
        <f t="shared" si="8"/>
        <v>2159.9599037943353</v>
      </c>
      <c r="F94" s="1136">
        <f t="shared" si="9"/>
        <v>77003.921937067294</v>
      </c>
      <c r="G94" s="742">
        <f>+F94/'02_CONSUMO COMBUSTIBLE'!G97</f>
        <v>0.37339825311933389</v>
      </c>
      <c r="H94" s="33">
        <f>+'01_MWh GENERACIÓN'!B99/'02_CONSUMO COMBUSTIBLE'!B97*1000</f>
        <v>12.359958850433429</v>
      </c>
      <c r="I94" s="33">
        <f>+'01_MWh GENERACIÓN'!E99/'02_CONSUMO COMBUSTIBLE'!C97*1000</f>
        <v>13.988541492151546</v>
      </c>
      <c r="J94" s="33">
        <f>+'01_MWh GENERACIÓN'!H99/'02_CONSUMO COMBUSTIBLE'!D97*1000</f>
        <v>12.329255982269625</v>
      </c>
      <c r="K94" s="33">
        <f>+('01_MWh GENERACIÓN'!J99+'01_MWh GENERACIÓN'!K99)/('02_CONSUMO COMBUSTIBLE'!E97+'02_CONSUMO COMBUSTIBLE'!F97)*1000</f>
        <v>9.3192285489372857</v>
      </c>
      <c r="L94" s="672">
        <v>42979</v>
      </c>
      <c r="M94" s="1215">
        <f>805198.991/1000</f>
        <v>805.19899100000009</v>
      </c>
      <c r="N94" s="1215">
        <f>233457.5/1000</f>
        <v>233.45750000000001</v>
      </c>
      <c r="O94" s="1215">
        <f>855/1000</f>
        <v>0.85499999999999998</v>
      </c>
      <c r="P94" s="1215">
        <f>1542885.46/1000</f>
        <v>1542.88546</v>
      </c>
      <c r="Q94" s="1215">
        <f>189183.7/1000</f>
        <v>189.18370000000002</v>
      </c>
      <c r="R94" s="1215">
        <f>592588/1000</f>
        <v>592.58799999999997</v>
      </c>
      <c r="S94" s="1215">
        <f>356031.925/1000</f>
        <v>356.031925</v>
      </c>
      <c r="T94" s="1215"/>
      <c r="U94" s="5">
        <f>17757.79/1000</f>
        <v>17.75779</v>
      </c>
      <c r="V94" s="5">
        <v>0</v>
      </c>
      <c r="W94" s="5">
        <f>2371.37/1000</f>
        <v>2.3713699999999998</v>
      </c>
      <c r="X94" s="5">
        <f t="shared" ref="X94:X102" si="10">SUM(M94:W94)</f>
        <v>3740.3297360000001</v>
      </c>
      <c r="Y94" s="1123"/>
      <c r="Z94" s="32"/>
    </row>
    <row r="95" spans="1:56">
      <c r="A95" s="1169">
        <v>43009</v>
      </c>
      <c r="B95" s="92">
        <f t="shared" si="6"/>
        <v>15471.767526660797</v>
      </c>
      <c r="C95" s="92">
        <f t="shared" si="7"/>
        <v>44634.439456926782</v>
      </c>
      <c r="D95" s="1129"/>
      <c r="E95" s="1171">
        <f t="shared" si="8"/>
        <v>2228.9087892900975</v>
      </c>
      <c r="F95" s="1136">
        <f t="shared" si="9"/>
        <v>62335.115772877682</v>
      </c>
      <c r="G95" s="742">
        <f>+F95/'02_CONSUMO COMBUSTIBLE'!G98</f>
        <v>0.27012348244660528</v>
      </c>
      <c r="H95" s="33">
        <f>+'01_MWh GENERACIÓN'!B100/'02_CONSUMO COMBUSTIBLE'!B98*1000</f>
        <v>12.509656680562358</v>
      </c>
      <c r="I95" s="33">
        <f>+'01_MWh GENERACIÓN'!E100/'02_CONSUMO COMBUSTIBLE'!C98*1000</f>
        <v>14.249886478943875</v>
      </c>
      <c r="J95" s="33">
        <f>+'01_MWh GENERACIÓN'!H100/'02_CONSUMO COMBUSTIBLE'!D98*1000</f>
        <v>12.070523843578325</v>
      </c>
      <c r="K95" s="33">
        <f>+('01_MWh GENERACIÓN'!J100+'01_MWh GENERACIÓN'!K100)/('02_CONSUMO COMBUSTIBLE'!E98+'02_CONSUMO COMBUSTIBLE'!F98)*1000</f>
        <v>10.079949035131126</v>
      </c>
      <c r="L95" s="672">
        <v>43009</v>
      </c>
      <c r="M95" s="1215">
        <f>875361.471/1000</f>
        <v>875.36147100000005</v>
      </c>
      <c r="N95" s="1215">
        <f>192696.44/1000</f>
        <v>192.69644</v>
      </c>
      <c r="O95" s="1215">
        <f>850.059999999998/1000</f>
        <v>0.85005999999999804</v>
      </c>
      <c r="P95" s="1215">
        <f>1824076.679/1000</f>
        <v>1824.076679</v>
      </c>
      <c r="Q95" s="1215">
        <f>176773/1000</f>
        <v>176.773</v>
      </c>
      <c r="R95" s="1215">
        <f>459262.6953125/1000</f>
        <v>459.2626953125</v>
      </c>
      <c r="S95" s="1215">
        <f>371325.525/1000</f>
        <v>371.32552500000003</v>
      </c>
      <c r="T95" s="1215"/>
      <c r="U95" s="5">
        <f>20371.577/1000</f>
        <v>20.371577000000002</v>
      </c>
      <c r="V95" s="5">
        <v>0</v>
      </c>
      <c r="W95" s="5">
        <f>2095.71/1000</f>
        <v>2.09571</v>
      </c>
      <c r="X95" s="5">
        <f t="shared" si="10"/>
        <v>3922.8131573125006</v>
      </c>
      <c r="Y95" s="1123"/>
      <c r="Z95" s="32"/>
    </row>
    <row r="96" spans="1:56">
      <c r="A96" s="1169">
        <v>43040</v>
      </c>
      <c r="B96" s="92">
        <f t="shared" si="6"/>
        <v>26932.513260517255</v>
      </c>
      <c r="C96" s="92">
        <f t="shared" si="7"/>
        <v>48902.642856726234</v>
      </c>
      <c r="D96" s="1129"/>
      <c r="E96" s="1171">
        <f t="shared" si="8"/>
        <v>2197.6074183652054</v>
      </c>
      <c r="F96" s="1136">
        <f t="shared" si="9"/>
        <v>78032.763535608698</v>
      </c>
      <c r="G96" s="742">
        <f>+F96/'02_CONSUMO COMBUSTIBLE'!G99</f>
        <v>0.31053938179184049</v>
      </c>
      <c r="H96" s="33">
        <f>+'01_MWh GENERACIÓN'!B101/'02_CONSUMO COMBUSTIBLE'!B99*1000</f>
        <v>12.962617770685359</v>
      </c>
      <c r="I96" s="33">
        <f>+'01_MWh GENERACIÓN'!E101/'02_CONSUMO COMBUSTIBLE'!C99*1000</f>
        <v>14.258058650179825</v>
      </c>
      <c r="J96" s="33">
        <f>+'01_MWh GENERACIÓN'!H101/'02_CONSUMO COMBUSTIBLE'!D99*1000</f>
        <v>12.325412009707463</v>
      </c>
      <c r="K96" s="33">
        <f>+('01_MWh GENERACIÓN'!J101+'01_MWh GENERACIÓN'!K101)/('02_CONSUMO COMBUSTIBLE'!E99+'02_CONSUMO COMBUSTIBLE'!F99)*1000</f>
        <v>10.086554047259927</v>
      </c>
      <c r="L96" s="672">
        <v>43040</v>
      </c>
      <c r="M96" s="1215">
        <v>688.94749399999989</v>
      </c>
      <c r="N96" s="1215">
        <v>348.20287500000001</v>
      </c>
      <c r="O96" s="1215">
        <v>0.91300000000000003</v>
      </c>
      <c r="P96" s="1215">
        <v>1748.2031529999999</v>
      </c>
      <c r="Q96" s="1215">
        <v>184.61799999999999</v>
      </c>
      <c r="R96" s="1215">
        <v>512.63874999999996</v>
      </c>
      <c r="S96" s="1215">
        <v>375.82646299999999</v>
      </c>
      <c r="T96" s="1215"/>
      <c r="U96" s="5">
        <v>20.062155999999998</v>
      </c>
      <c r="V96" s="5"/>
      <c r="W96" s="5">
        <v>2.1041300000000001</v>
      </c>
      <c r="X96" s="5">
        <f t="shared" si="10"/>
        <v>3881.5160209999999</v>
      </c>
      <c r="Y96" s="1123"/>
      <c r="Z96" s="32"/>
    </row>
    <row r="97" spans="1:56">
      <c r="A97" s="1169">
        <v>43070</v>
      </c>
      <c r="B97" s="92">
        <f t="shared" si="6"/>
        <v>15570.317998197699</v>
      </c>
      <c r="C97" s="92">
        <f t="shared" si="7"/>
        <v>38503.421090422642</v>
      </c>
      <c r="D97" s="1129"/>
      <c r="E97" s="1171">
        <f t="shared" si="8"/>
        <v>2325.8498565756477</v>
      </c>
      <c r="F97" s="1136">
        <f t="shared" si="9"/>
        <v>56399.588945195988</v>
      </c>
      <c r="G97" s="742">
        <f>+F97/'02_CONSUMO COMBUSTIBLE'!G100</f>
        <v>0.18320813158917387</v>
      </c>
      <c r="H97" s="33">
        <f>+'01_MWh GENERACIÓN'!B102/'02_CONSUMO COMBUSTIBLE'!B100*1000</f>
        <v>12.614690979512137</v>
      </c>
      <c r="I97" s="33">
        <f>+'01_MWh GENERACIÓN'!E102/'02_CONSUMO COMBUSTIBLE'!C100*1000</f>
        <v>14.050683990638133</v>
      </c>
      <c r="J97" s="33">
        <f>+'01_MWh GENERACIÓN'!H102/'02_CONSUMO COMBUSTIBLE'!D100*1000</f>
        <v>12.349175221504732</v>
      </c>
      <c r="K97" s="33">
        <f>+('01_MWh GENERACIÓN'!J102+'01_MWh GENERACIÓN'!K102)/('02_CONSUMO COMBUSTIBLE'!E100+'02_CONSUMO COMBUSTIBLE'!F100)*1000</f>
        <v>10.003608330185113</v>
      </c>
      <c r="L97" s="672">
        <v>43070</v>
      </c>
      <c r="M97" s="1215">
        <v>968.14513999999997</v>
      </c>
      <c r="N97" s="1215">
        <v>195.58175</v>
      </c>
      <c r="O97" s="1215">
        <v>0.83299999999999996</v>
      </c>
      <c r="P97" s="1215">
        <v>2144.335611</v>
      </c>
      <c r="Q97" s="1215">
        <v>174.91200000000001</v>
      </c>
      <c r="R97" s="1215">
        <v>366.08740230000001</v>
      </c>
      <c r="S97" s="1215">
        <v>411.16578900000002</v>
      </c>
      <c r="T97" s="1215"/>
      <c r="U97" s="5">
        <v>21.183640999999998</v>
      </c>
      <c r="V97" s="5">
        <v>0</v>
      </c>
      <c r="W97" s="5">
        <v>2.08325</v>
      </c>
      <c r="X97" s="5">
        <f t="shared" si="10"/>
        <v>4284.3275832999989</v>
      </c>
      <c r="Y97" s="1123"/>
      <c r="Z97" s="32"/>
    </row>
    <row r="98" spans="1:56" s="1257" customFormat="1">
      <c r="A98" s="1169">
        <v>43101</v>
      </c>
      <c r="B98" s="92">
        <f t="shared" si="6"/>
        <v>16304.195237203438</v>
      </c>
      <c r="C98" s="92">
        <f t="shared" si="7"/>
        <v>23764.457725161479</v>
      </c>
      <c r="D98" s="1129"/>
      <c r="E98" s="1171">
        <f t="shared" si="8"/>
        <v>2653.9563035726837</v>
      </c>
      <c r="F98" s="1136">
        <f t="shared" si="9"/>
        <v>42722.609265937601</v>
      </c>
      <c r="G98" s="742">
        <f>+F98/'02_CONSUMO COMBUSTIBLE'!G101</f>
        <v>0.13218532730036753</v>
      </c>
      <c r="H98" s="33">
        <f>+'01_MWh GENERACIÓN'!B104/'02_CONSUMO COMBUSTIBLE'!B101*1000</f>
        <v>12.625140155970495</v>
      </c>
      <c r="I98" s="33">
        <f>+'01_MWh GENERACIÓN'!E104/'02_CONSUMO COMBUSTIBLE'!C101*1000</f>
        <v>14.147996301384801</v>
      </c>
      <c r="J98" s="33">
        <f>+'01_MWh GENERACIÓN'!H104/'02_CONSUMO COMBUSTIBLE'!D101*1000</f>
        <v>12.690257737280916</v>
      </c>
      <c r="K98" s="33">
        <f>+('01_MWh GENERACIÓN'!J104+'01_MWh GENERACIÓN'!K104)/('02_CONSUMO COMBUSTIBLE'!E101+'02_CONSUMO COMBUSTIBLE'!F101)*1000</f>
        <v>9.4181430064812872</v>
      </c>
      <c r="L98" s="672">
        <v>43101</v>
      </c>
      <c r="M98" s="1215">
        <f>+'01_MWh GENERACIÓN'!B104</f>
        <v>1118.2271129999999</v>
      </c>
      <c r="N98" s="1215">
        <f>+'01_MWh GENERACIÓN'!C104</f>
        <v>205.00975</v>
      </c>
      <c r="O98" s="1215">
        <f>+'01_MWh GENERACIÓN'!D104</f>
        <v>0.83299999999999996</v>
      </c>
      <c r="P98" s="1215">
        <f>+'01_MWh GENERACIÓN'!E104</f>
        <v>2737.6145780000002</v>
      </c>
      <c r="Q98" s="1215">
        <f>+'01_MWh GENERACIÓN'!F104</f>
        <v>218.14400000000001</v>
      </c>
      <c r="R98" s="1215">
        <f>+'01_MWh GENERACIÓN'!G104</f>
        <v>118.07546000000001</v>
      </c>
      <c r="S98" s="1215">
        <f>+'01_MWh GENERACIÓN'!H104</f>
        <v>491.63327500000003</v>
      </c>
      <c r="T98" s="1215"/>
      <c r="U98" s="1215">
        <f>+'01_MWh GENERACIÓN'!J104</f>
        <v>22.523489000000001</v>
      </c>
      <c r="V98" s="1215">
        <f>+'01_MWh GENERACIÓN'!K104</f>
        <v>0</v>
      </c>
      <c r="W98" s="1215">
        <f>+'01_MWh GENERACIÓN'!L104</f>
        <v>2.471851</v>
      </c>
      <c r="X98" s="5">
        <f t="shared" si="10"/>
        <v>4914.5325160000011</v>
      </c>
      <c r="Y98" s="1123"/>
      <c r="Z98" s="32"/>
    </row>
    <row r="99" spans="1:56" s="1257" customFormat="1">
      <c r="A99" s="1169">
        <v>43132</v>
      </c>
      <c r="B99" s="92">
        <f t="shared" si="6"/>
        <v>5177.5022873613752</v>
      </c>
      <c r="C99" s="92">
        <f t="shared" si="7"/>
        <v>19582.288838410183</v>
      </c>
      <c r="D99" s="1129"/>
      <c r="E99" s="1171">
        <f t="shared" si="8"/>
        <v>2648.7255639325563</v>
      </c>
      <c r="F99" s="1136">
        <f t="shared" si="9"/>
        <v>27408.516689704113</v>
      </c>
      <c r="G99" s="742">
        <f>+F99/'02_CONSUMO COMBUSTIBLE'!G102</f>
        <v>8.3140513966068336E-2</v>
      </c>
      <c r="H99" s="33">
        <f>+'01_MWh GENERACIÓN'!B105/'02_CONSUMO COMBUSTIBLE'!B102*1000</f>
        <v>13.735822034034038</v>
      </c>
      <c r="I99" s="33">
        <f>+'01_MWh GENERACIÓN'!E105/'02_CONSUMO COMBUSTIBLE'!C102*1000</f>
        <v>14.1547804900269</v>
      </c>
      <c r="J99" s="33">
        <f>+'01_MWh GENERACIÓN'!H105/'02_CONSUMO COMBUSTIBLE'!D102*1000</f>
        <v>12.601856253006861</v>
      </c>
      <c r="K99" s="33">
        <f>+('01_MWh GENERACIÓN'!J105+'01_MWh GENERACIÓN'!K105)/('02_CONSUMO COMBUSTIBLE'!E102+'02_CONSUMO COMBUSTIBLE'!F102)*1000</f>
        <v>9.7068206499382974</v>
      </c>
      <c r="L99" s="672">
        <v>43132</v>
      </c>
      <c r="M99" s="1215">
        <f>+'01_MWh GENERACIÓN'!B105</f>
        <v>1273.7184550000002</v>
      </c>
      <c r="N99" s="1215">
        <f>+'01_MWh GENERACIÓN'!C105</f>
        <v>70.446250000000006</v>
      </c>
      <c r="O99" s="1215">
        <f>+'01_MWh GENERACIÓN'!D105</f>
        <v>0.67100000000000004</v>
      </c>
      <c r="P99" s="1215">
        <f>+'01_MWh GENERACIÓN'!E105</f>
        <v>2760.342208</v>
      </c>
      <c r="Q99" s="1215">
        <f>+'01_MWh GENERACIÓN'!F105</f>
        <v>197.30699999999999</v>
      </c>
      <c r="R99" s="1215">
        <f>+'01_MWh GENERACIÓN'!G105</f>
        <v>79.876000000000005</v>
      </c>
      <c r="S99" s="1215">
        <f>+'01_MWh GENERACIÓN'!H105</f>
        <v>497.68510900000001</v>
      </c>
      <c r="T99" s="1215"/>
      <c r="U99" s="1215">
        <f>+'01_MWh GENERACIÓN'!J105</f>
        <v>23.597280999999999</v>
      </c>
      <c r="V99" s="1215">
        <f>+'01_MWh GENERACIÓN'!K105</f>
        <v>0</v>
      </c>
      <c r="W99" s="1215">
        <f>+'01_MWh GENERACIÓN'!L105</f>
        <v>2.1134229999999996</v>
      </c>
      <c r="X99" s="5">
        <f t="shared" si="10"/>
        <v>4905.7567260000005</v>
      </c>
      <c r="Y99" s="1123"/>
      <c r="Z99" s="32"/>
    </row>
    <row r="100" spans="1:56" s="1257" customFormat="1">
      <c r="A100" s="1169">
        <v>43160</v>
      </c>
      <c r="B100" s="92">
        <f t="shared" si="6"/>
        <v>6599.8906247116529</v>
      </c>
      <c r="C100" s="92">
        <f t="shared" ref="C100:C106" si="11">(Q100+R100)/I100*1000</f>
        <v>27104.969951211315</v>
      </c>
      <c r="D100" s="1129"/>
      <c r="E100" s="1171">
        <f t="shared" si="8"/>
        <v>3068.2780276922881</v>
      </c>
      <c r="F100" s="1136">
        <f t="shared" si="9"/>
        <v>36773.138603615254</v>
      </c>
      <c r="G100" s="742">
        <f>+F100/'02_CONSUMO COMBUSTIBLE'!G103</f>
        <v>0.10294316796490235</v>
      </c>
      <c r="H100" s="33">
        <f>+'01_MWh GENERACIÓN'!B106/'02_CONSUMO COMBUSTIBLE'!B103*1000</f>
        <v>14.599276030306891</v>
      </c>
      <c r="I100" s="33">
        <f>+'01_MWh GENERACIÓN'!E106/'02_CONSUMO COMBUSTIBLE'!C103*1000</f>
        <v>14.13284699040519</v>
      </c>
      <c r="J100" s="33">
        <f>+'01_MWh GENERACIÓN'!H106/'02_CONSUMO COMBUSTIBLE'!D103*1000</f>
        <v>18.5701454151326</v>
      </c>
      <c r="K100" s="33">
        <f>+('01_MWh GENERACIÓN'!J106+'01_MWh GENERACIÓN'!K106)/('02_CONSUMO COMBUSTIBLE'!E103+'02_CONSUMO COMBUSTIBLE'!F103)*1000</f>
        <v>9.6418283261802582</v>
      </c>
      <c r="L100" s="672">
        <v>43160</v>
      </c>
      <c r="M100" s="1215">
        <f>+'01_MWh GENERACIÓN'!B106</f>
        <v>1444.8490979999999</v>
      </c>
      <c r="N100" s="1215">
        <f>+'01_MWh GENERACIÓN'!C106</f>
        <v>95.522625000000005</v>
      </c>
      <c r="O100" s="1215">
        <f>+'01_MWh GENERACIÓN'!D106</f>
        <v>0.83099999999999996</v>
      </c>
      <c r="P100" s="1215">
        <f>+'01_MWh GENERACIÓN'!E106</f>
        <v>3139.9094610000002</v>
      </c>
      <c r="Q100" s="1215">
        <f>+'01_MWh GENERACIÓN'!F106</f>
        <v>274.17779999999999</v>
      </c>
      <c r="R100" s="1215">
        <f>+'01_MWh GENERACIÓN'!G106</f>
        <v>108.89259299999999</v>
      </c>
      <c r="S100" s="1215">
        <f>+'01_MWh GENERACIÓN'!H106</f>
        <v>618.08202399999993</v>
      </c>
      <c r="T100" s="1215"/>
      <c r="U100" s="1215">
        <f>+'01_MWh GENERACIÓN'!J106</f>
        <v>26.958552000000001</v>
      </c>
      <c r="V100" s="1215">
        <f>+'01_MWh GENERACIÓN'!K106</f>
        <v>0</v>
      </c>
      <c r="W100" s="1215">
        <f>+'01_MWh GENERACIÓN'!L106</f>
        <v>2.6252579999999996</v>
      </c>
      <c r="X100" s="5">
        <f t="shared" si="10"/>
        <v>5711.8484109999999</v>
      </c>
      <c r="Y100" s="1123"/>
      <c r="Z100" s="32"/>
    </row>
    <row r="101" spans="1:56" s="1257" customFormat="1">
      <c r="A101" s="1169">
        <v>43191</v>
      </c>
      <c r="B101" s="92">
        <f t="shared" si="6"/>
        <v>3260.9668566126084</v>
      </c>
      <c r="C101" s="92">
        <f t="shared" si="11"/>
        <v>24851.273353485405</v>
      </c>
      <c r="D101" s="1129"/>
      <c r="E101" s="1171">
        <f t="shared" si="8"/>
        <v>2463.0680653974105</v>
      </c>
      <c r="F101" s="1136">
        <f t="shared" si="9"/>
        <v>30575.308275495423</v>
      </c>
      <c r="G101" s="742">
        <f>+F101/'02_CONSUMO COMBUSTIBLE'!G104</f>
        <v>8.8431224293853777E-2</v>
      </c>
      <c r="H101" s="33">
        <f>+'01_MWh GENERACIÓN'!B107/'02_CONSUMO COMBUSTIBLE'!B104*1000</f>
        <v>13.486605946582486</v>
      </c>
      <c r="I101" s="33">
        <f>+'01_MWh GENERACIÓN'!E107/'02_CONSUMO COMBUSTIBLE'!C104*1000</f>
        <v>14.130934660969716</v>
      </c>
      <c r="J101" s="33">
        <f>+'01_MWh GENERACIÓN'!H107/'02_CONSUMO COMBUSTIBLE'!D104*1000</f>
        <v>13.509526898464681</v>
      </c>
      <c r="K101" s="33">
        <f>+('01_MWh GENERACIÓN'!J107+'01_MWh GENERACIÓN'!K107)/('02_CONSUMO COMBUSTIBLE'!E104+'02_CONSUMO COMBUSTIBLE'!F104)*1000</f>
        <v>9.4229986276303741</v>
      </c>
      <c r="L101" s="672">
        <v>43191</v>
      </c>
      <c r="M101" s="1215">
        <f>+'01_MWh GENERACIÓN'!B107</f>
        <v>1357.1738479999999</v>
      </c>
      <c r="N101" s="1215">
        <f>+'01_MWh GENERACIÓN'!C107</f>
        <v>43.216374999999999</v>
      </c>
      <c r="O101" s="1215">
        <f>+'01_MWh GENERACIÓN'!D107</f>
        <v>0.76300000000000001</v>
      </c>
      <c r="P101" s="1215">
        <f>+'01_MWh GENERACIÓN'!E107</f>
        <v>2852.1336609999998</v>
      </c>
      <c r="Q101" s="1215">
        <f>+'01_MWh GENERACIÓN'!F107</f>
        <v>266.39771999999999</v>
      </c>
      <c r="R101" s="1215">
        <f>+'01_MWh GENERACIÓN'!G107</f>
        <v>84.774000000000001</v>
      </c>
      <c r="S101" s="1215">
        <f>+'01_MWh GENERACIÓN'!H107</f>
        <v>555.22804599999995</v>
      </c>
      <c r="T101" s="1215"/>
      <c r="U101" s="1215">
        <f>+'01_MWh GENERACIÓN'!J107</f>
        <v>20.598675</v>
      </c>
      <c r="V101" s="1215"/>
      <c r="W101" s="1215">
        <f>+'01_MWh GENERACIÓN'!L107</f>
        <v>2.6108119999999997</v>
      </c>
      <c r="X101" s="5">
        <f t="shared" si="10"/>
        <v>5182.8961369999997</v>
      </c>
      <c r="Y101" s="1123"/>
      <c r="Z101" s="32"/>
    </row>
    <row r="102" spans="1:56" s="1820" customFormat="1">
      <c r="A102" s="1169">
        <v>43221</v>
      </c>
      <c r="B102" s="92">
        <f>(N102+O102)/H102*1000</f>
        <v>19722.342158668405</v>
      </c>
      <c r="C102" s="92">
        <f t="shared" si="11"/>
        <v>25765.049600053724</v>
      </c>
      <c r="D102" s="1129"/>
      <c r="E102" s="1171">
        <f t="shared" si="8"/>
        <v>2867.6087695533793</v>
      </c>
      <c r="F102" s="1136">
        <f t="shared" si="9"/>
        <v>48355.000528275508</v>
      </c>
      <c r="G102" s="742">
        <f>+F102/'02_CONSUMO COMBUSTIBLE'!G105</f>
        <v>0.14174026896291525</v>
      </c>
      <c r="H102" s="33">
        <f>+'01_MWh GENERACIÓN'!B108/'02_CONSUMO COMBUSTIBLE'!B105*1000</f>
        <v>13.031730609492323</v>
      </c>
      <c r="I102" s="33">
        <f>+'01_MWh GENERACIÓN'!E108/'02_CONSUMO COMBUSTIBLE'!C105*1000</f>
        <v>14.298178568196191</v>
      </c>
      <c r="J102" s="33">
        <f>+'01_MWh GENERACIÓN'!H108/'02_CONSUMO COMBUSTIBLE'!D105*1000</f>
        <v>12.531004832795007</v>
      </c>
      <c r="K102" s="33">
        <f>+('01_MWh GENERACIÓN'!J108+'01_MWh GENERACIÓN'!K108)/('02_CONSUMO COMBUSTIBLE'!E105+'02_CONSUMO COMBUSTIBLE'!F105)*1000</f>
        <v>9.4525690839694665</v>
      </c>
      <c r="L102" s="672">
        <v>43221</v>
      </c>
      <c r="M102" s="1215">
        <f>+'01_MWh GENERACIÓN'!B108</f>
        <v>1215.2293500000001</v>
      </c>
      <c r="N102" s="1215">
        <f>+'01_MWh GENERACIÓN'!C108</f>
        <v>256.33724999999998</v>
      </c>
      <c r="O102" s="1215">
        <f>+'01_MWh GENERACIÓN'!D108</f>
        <v>0.67900000000000005</v>
      </c>
      <c r="P102" s="1215">
        <f>+'01_MWh GENERACIÓN'!E108</f>
        <v>2918.3097269999998</v>
      </c>
      <c r="Q102" s="1215">
        <f>+'01_MWh GENERACIÓN'!F108</f>
        <v>190.71127999999999</v>
      </c>
      <c r="R102" s="1215">
        <f>+'01_MWh GENERACIÓN'!G108</f>
        <v>177.68199999999999</v>
      </c>
      <c r="S102" s="1215">
        <f>+'01_MWh GENERACIÓN'!H108</f>
        <v>515.98918600000002</v>
      </c>
      <c r="T102" s="1215"/>
      <c r="U102" s="1215">
        <f>+'01_MWh GENERACIÓN'!J108</f>
        <v>24.765730999999999</v>
      </c>
      <c r="V102" s="1215"/>
      <c r="W102" s="1215">
        <f>+'01_MWh GENERACIÓN'!L108</f>
        <v>2.3405389999999997</v>
      </c>
      <c r="X102" s="5">
        <f t="shared" si="10"/>
        <v>5302.0440629999994</v>
      </c>
      <c r="Y102" s="1123"/>
      <c r="Z102" s="32"/>
    </row>
    <row r="103" spans="1:56" s="2638" customFormat="1">
      <c r="A103" s="1169">
        <v>43252</v>
      </c>
      <c r="B103" s="92">
        <f t="shared" ref="B103:B104" si="12">(N103+O103)/H103*1000</f>
        <v>32846.095034893682</v>
      </c>
      <c r="C103" s="92">
        <f t="shared" si="11"/>
        <v>31851.510158054331</v>
      </c>
      <c r="D103" s="1129">
        <f>(T103/J103*1000)</f>
        <v>576.21636953431312</v>
      </c>
      <c r="E103" s="1171">
        <f t="shared" si="8"/>
        <v>2538.8015094603688</v>
      </c>
      <c r="F103" s="1136">
        <f t="shared" ref="F103" si="13">SUM(B103:E103)</f>
        <v>67812.623071942697</v>
      </c>
      <c r="G103" s="742">
        <f>+F103/'02_CONSUMO COMBUSTIBLE'!G106</f>
        <v>0.25760963131406289</v>
      </c>
      <c r="H103" s="33">
        <f>+'01_MWh GENERACIÓN'!B109/'02_CONSUMO COMBUSTIBLE'!B106*1000</f>
        <v>11.801813871274234</v>
      </c>
      <c r="I103" s="33">
        <f>+'01_MWh GENERACIÓN'!E109/'02_CONSUMO COMBUSTIBLE'!C106*1000</f>
        <v>14.253107552741913</v>
      </c>
      <c r="J103" s="33">
        <f>+'01_MWh GENERACIÓN'!H109/'02_CONSUMO COMBUSTIBLE'!D106*1000</f>
        <v>10.089959791837851</v>
      </c>
      <c r="K103" s="33">
        <f>+('01_MWh GENERACIÓN'!J109+'01_MWh GENERACIÓN'!K109)/('02_CONSUMO COMBUSTIBLE'!E106+'02_CONSUMO COMBUSTIBLE'!F106)*1000</f>
        <v>9.8371435919417056</v>
      </c>
      <c r="L103" s="672">
        <v>43252</v>
      </c>
      <c r="M103" s="1215">
        <f>+'01_MWh GENERACIÓN'!B109</f>
        <v>800.93210900000008</v>
      </c>
      <c r="N103" s="1215">
        <f>+'01_MWh GENERACIÓN'!C109</f>
        <v>387.00349999999997</v>
      </c>
      <c r="O103" s="1215">
        <f>+'01_MWh GENERACIÓN'!D109</f>
        <v>0.64</v>
      </c>
      <c r="P103" s="1215">
        <f>+'01_MWh GENERACIÓN'!E109</f>
        <v>2231.0353319999999</v>
      </c>
      <c r="Q103" s="1215">
        <f>+'01_MWh GENERACIÓN'!F109</f>
        <v>135.417</v>
      </c>
      <c r="R103" s="1215">
        <f>+'01_MWh GENERACIÓN'!G109</f>
        <v>318.56599999999997</v>
      </c>
      <c r="S103" s="1215">
        <f>+'01_MWh GENERACIÓN'!H109</f>
        <v>368.38443199999995</v>
      </c>
      <c r="T103" s="1215">
        <f>+'01_MWh GENERACIÓN'!I109</f>
        <v>5.8140000000000001</v>
      </c>
      <c r="U103" s="1215">
        <f>+'01_MWh GENERACIÓN'!J109</f>
        <v>22.950056</v>
      </c>
      <c r="V103" s="1215"/>
      <c r="W103" s="1215">
        <f>+'01_MWh GENERACIÓN'!L109</f>
        <v>2.024499</v>
      </c>
      <c r="X103" s="5">
        <f t="shared" ref="X103" si="14">SUM(M103:W103)</f>
        <v>4272.766928</v>
      </c>
      <c r="Y103" s="1123"/>
      <c r="Z103" s="32"/>
    </row>
    <row r="104" spans="1:56" s="2638" customFormat="1">
      <c r="A104" s="1169">
        <v>43282</v>
      </c>
      <c r="B104" s="92">
        <f t="shared" si="12"/>
        <v>29733.233060902599</v>
      </c>
      <c r="C104" s="92">
        <f t="shared" si="11"/>
        <v>45602.99095300959</v>
      </c>
      <c r="D104" s="1129">
        <f>(T104/J104*1000)</f>
        <v>0</v>
      </c>
      <c r="E104" s="1171">
        <f t="shared" si="8"/>
        <v>2683.4351840453032</v>
      </c>
      <c r="F104" s="1136">
        <f t="shared" ref="F104" si="15">SUM(B104:E104)</f>
        <v>78019.659197957488</v>
      </c>
      <c r="G104" s="742">
        <f>+F104/'02_CONSUMO COMBUSTIBLE'!G107</f>
        <v>0.30264929534602908</v>
      </c>
      <c r="H104" s="33">
        <f>+'01_MWh GENERACIÓN'!B110/'02_CONSUMO COMBUSTIBLE'!B107*1000</f>
        <v>12.418225735617039</v>
      </c>
      <c r="I104" s="33">
        <f>+'01_MWh GENERACIÓN'!E110/'02_CONSUMO COMBUSTIBLE'!C107*1000</f>
        <v>14.021163670138657</v>
      </c>
      <c r="J104" s="33">
        <f>+'01_MWh GENERACIÓN'!H110/'02_CONSUMO COMBUSTIBLE'!D107*1000</f>
        <v>12.769557190487999</v>
      </c>
      <c r="K104" s="33">
        <f>+('01_MWh GENERACIÓN'!J110+'01_MWh GENERACIÓN'!K110)/('02_CONSUMO COMBUSTIBLE'!E107+'02_CONSUMO COMBUSTIBLE'!F107)*1000</f>
        <v>9.9141578519121243</v>
      </c>
      <c r="L104" s="672">
        <v>43282</v>
      </c>
      <c r="M104" s="1215">
        <f>+'01_MWh GENERACIÓN'!B110</f>
        <v>848.28899999999999</v>
      </c>
      <c r="N104" s="1215">
        <f>+'01_MWh GENERACIÓN'!C110</f>
        <v>368.59800000000001</v>
      </c>
      <c r="O104" s="1215">
        <f>+'01_MWh GENERACIÓN'!D110</f>
        <v>0.63600000000000001</v>
      </c>
      <c r="P104" s="1215">
        <f>+'01_MWh GENERACIÓN'!E110</f>
        <v>2113.41</v>
      </c>
      <c r="Q104" s="1215">
        <f>+'01_MWh GENERACIÓN'!F110</f>
        <v>162.91800000000001</v>
      </c>
      <c r="R104" s="1215">
        <f>+'01_MWh GENERACIÓN'!G110</f>
        <v>476.48899999999998</v>
      </c>
      <c r="S104" s="1215">
        <f>+'01_MWh GENERACIÓN'!H110</f>
        <v>463.42</v>
      </c>
      <c r="T104" s="1215">
        <f>+'01_MWh GENERACIÓN'!I110</f>
        <v>0</v>
      </c>
      <c r="U104" s="1215">
        <f>+'01_MWh GENERACIÓN'!J110</f>
        <v>24.369</v>
      </c>
      <c r="V104" s="1215"/>
      <c r="W104" s="1215">
        <f>+'01_MWh GENERACIÓN'!L110</f>
        <v>2.2349999999999999</v>
      </c>
      <c r="X104" s="5">
        <f t="shared" ref="X104:X106" si="16">SUM(M104:W104)</f>
        <v>4460.3639999999996</v>
      </c>
      <c r="Y104" s="1123"/>
      <c r="Z104" s="32"/>
    </row>
    <row r="105" spans="1:56" s="2638" customFormat="1">
      <c r="A105" s="1169">
        <v>43313</v>
      </c>
      <c r="B105" s="92">
        <f t="shared" ref="B105" si="17">(N105+O105)/H105*1000</f>
        <v>24566.981555933082</v>
      </c>
      <c r="C105" s="92">
        <f t="shared" ref="C105" si="18">(Q105+R105)/I105*1000</f>
        <v>48487.877111609771</v>
      </c>
      <c r="D105" s="1129">
        <f>(T105/J105*1000)</f>
        <v>226.04355659871189</v>
      </c>
      <c r="E105" s="1171">
        <f t="shared" ref="E105" si="19">+(U105+V105+W105)/K105*1000</f>
        <v>2494.6923529126234</v>
      </c>
      <c r="F105" s="1136">
        <f t="shared" ref="F105" si="20">SUM(B105:E105)</f>
        <v>75775.594577054188</v>
      </c>
      <c r="G105" s="742">
        <f>+F105/'02_CONSUMO COMBUSTIBLE'!G108</f>
        <v>0.31370579612398342</v>
      </c>
      <c r="H105" s="33">
        <f>+'01_MWh GENERACIÓN'!B111/'02_CONSUMO COMBUSTIBLE'!B108*1000</f>
        <v>12.721709392276603</v>
      </c>
      <c r="I105" s="33">
        <f>+'01_MWh GENERACIÓN'!E111/'02_CONSUMO COMBUSTIBLE'!C108*1000</f>
        <v>14.245911373063768</v>
      </c>
      <c r="J105" s="33">
        <f>+'01_MWh GENERACIÓN'!H111/'02_CONSUMO COMBUSTIBLE'!D108*1000</f>
        <v>12.152525120973316</v>
      </c>
      <c r="K105" s="33">
        <f>+('01_MWh GENERACIÓN'!J111+'01_MWh GENERACIÓN'!K111)/('02_CONSUMO COMBUSTIBLE'!E108+'02_CONSUMO COMBUSTIBLE'!F108)*1000</f>
        <v>10.291494247787609</v>
      </c>
      <c r="L105" s="672">
        <v>43313</v>
      </c>
      <c r="M105" s="1215">
        <f>+'01_MWh GENERACIÓN'!B111</f>
        <v>831.37097100000005</v>
      </c>
      <c r="N105" s="1215">
        <f>+'01_MWh GENERACIÓN'!C111</f>
        <v>311.767</v>
      </c>
      <c r="O105" s="1215">
        <f>+'01_MWh GENERACIÓN'!D111</f>
        <v>0.76700000000000002</v>
      </c>
      <c r="P105" s="1215">
        <f>+'01_MWh GENERACIÓN'!E111</f>
        <v>1962.7204690000001</v>
      </c>
      <c r="Q105" s="1215">
        <f>+'01_MWh GENERACIÓN'!F111</f>
        <v>179.69900000000001</v>
      </c>
      <c r="R105" s="1215">
        <f>+'01_MWh GENERACIÓN'!G111</f>
        <v>511.05500000000001</v>
      </c>
      <c r="S105" s="1215">
        <f>+'01_MWh GENERACIÓN'!H111</f>
        <v>439.49607099999997</v>
      </c>
      <c r="T105" s="1215">
        <f>+'01_MWh GENERACIÓN'!I111</f>
        <v>2.7469999999999999</v>
      </c>
      <c r="U105" s="1215">
        <f>+'01_MWh GENERACIÓN'!J111</f>
        <v>23.258776999999998</v>
      </c>
      <c r="V105" s="1215"/>
      <c r="W105" s="1215">
        <f>+'01_MWh GENERACIÓN'!L111</f>
        <v>2.4153350000000002</v>
      </c>
      <c r="X105" s="5">
        <f t="shared" ref="X105" si="21">SUM(M105:W105)</f>
        <v>4265.2966230000002</v>
      </c>
      <c r="Y105" s="1123"/>
      <c r="Z105" s="32"/>
    </row>
    <row r="106" spans="1:56" s="1820" customFormat="1" ht="13.5" thickBot="1">
      <c r="A106" s="1169">
        <v>43344</v>
      </c>
      <c r="B106" s="92">
        <f t="shared" ref="B106" si="22">(N106+O106)/H106*1000</f>
        <v>20122.307453613437</v>
      </c>
      <c r="C106" s="92">
        <f t="shared" si="11"/>
        <v>44527.862872825761</v>
      </c>
      <c r="D106" s="1129">
        <f>(T106/J106*1000)</f>
        <v>7561.0273445203529</v>
      </c>
      <c r="E106" s="1171">
        <f t="shared" ref="E106" si="23">+(U106+V106+W106)/K106*1000</f>
        <v>2255.4834699950252</v>
      </c>
      <c r="F106" s="1136">
        <f t="shared" ref="F106" si="24">SUM(B106:E106)</f>
        <v>74466.681140954577</v>
      </c>
      <c r="G106" s="742">
        <f>+F106/'02_CONSUMO COMBUSTIBLE'!G109</f>
        <v>0.31792706815055188</v>
      </c>
      <c r="H106" s="33">
        <f>+'01_MWh GENERACIÓN'!B112/'02_CONSUMO COMBUSTIBLE'!B109*1000</f>
        <v>12.708905307680167</v>
      </c>
      <c r="I106" s="33">
        <f>+'01_MWh GENERACIÓN'!E112/'02_CONSUMO COMBUSTIBLE'!C109*1000</f>
        <v>13.771961204413486</v>
      </c>
      <c r="J106" s="33">
        <f>+'01_MWh GENERACIÓN'!H112/'02_CONSUMO COMBUSTIBLE'!D109*1000</f>
        <v>11.309177457474783</v>
      </c>
      <c r="K106" s="33">
        <f>+('01_MWh GENERACIÓN'!J112+'01_MWh GENERACIÓN'!K112)/('02_CONSUMO COMBUSTIBLE'!E109+'02_CONSUMO COMBUSTIBLE'!F109)*1000</f>
        <v>10.458596267190568</v>
      </c>
      <c r="L106" s="672">
        <v>43313</v>
      </c>
      <c r="M106" s="1215">
        <f>+'01_MWh GENERACIÓN'!B112</f>
        <v>835.13039900000001</v>
      </c>
      <c r="N106" s="1215">
        <f>+'01_MWh GENERACIÓN'!C112</f>
        <v>255.01949999999999</v>
      </c>
      <c r="O106" s="1215">
        <f>+'01_MWh GENERACIÓN'!D112</f>
        <v>0.71299999999999997</v>
      </c>
      <c r="P106" s="1215">
        <f>+'01_MWh GENERACIÓN'!E112</f>
        <v>1878.9975030000001</v>
      </c>
      <c r="Q106" s="1215">
        <f>+'01_MWh GENERACIÓN'!F112</f>
        <v>167.93600000000001</v>
      </c>
      <c r="R106" s="1215">
        <f>+'01_MWh GENERACIÓN'!G112</f>
        <v>445.3</v>
      </c>
      <c r="S106" s="1215">
        <f>+'01_MWh GENERACIÓN'!H112</f>
        <v>339.73899999999998</v>
      </c>
      <c r="T106" s="1215">
        <f>+'01_MWh GENERACIÓN'!I112</f>
        <v>85.509</v>
      </c>
      <c r="U106" s="1215">
        <f>+'01_MWh GENERACIÓN'!J112</f>
        <v>21.293702</v>
      </c>
      <c r="V106" s="1215"/>
      <c r="W106" s="1215">
        <f>+'01_MWh GENERACIÓN'!L112</f>
        <v>2.2954889999999999</v>
      </c>
      <c r="X106" s="5">
        <f t="shared" si="16"/>
        <v>4031.9335930000007</v>
      </c>
      <c r="Y106" s="1123"/>
      <c r="Z106" s="32"/>
    </row>
    <row r="107" spans="1:56" s="4" customFormat="1" ht="19.5" customHeight="1" thickBot="1">
      <c r="A107" s="1238" t="s">
        <v>165</v>
      </c>
      <c r="B107" s="216">
        <f>(B106/B104)-1</f>
        <v>-0.32323849840355734</v>
      </c>
      <c r="C107" s="216">
        <f t="shared" ref="C107:E107" si="25">(C106/C104)-1</f>
        <v>-2.3575823815847219E-2</v>
      </c>
      <c r="D107" s="216"/>
      <c r="E107" s="216">
        <f t="shared" si="25"/>
        <v>-0.15947905751356251</v>
      </c>
      <c r="F107" s="216">
        <f>(F106/F104)-1</f>
        <v>-4.5539522903939145E-2</v>
      </c>
      <c r="G107" s="216">
        <f>(G106/G104)-1</f>
        <v>5.0480120190120381E-2</v>
      </c>
      <c r="H107" s="216">
        <f t="shared" ref="H107:W107" si="26">(H106/H104)-1</f>
        <v>2.3407496227856761E-2</v>
      </c>
      <c r="I107" s="216">
        <f t="shared" si="26"/>
        <v>-1.7773308377813546E-2</v>
      </c>
      <c r="J107" s="216">
        <f t="shared" si="26"/>
        <v>-0.11436416402136862</v>
      </c>
      <c r="K107" s="216">
        <f t="shared" si="26"/>
        <v>5.4915245794017631E-2</v>
      </c>
      <c r="L107" s="216">
        <f t="shared" si="26"/>
        <v>7.1623307610546583E-4</v>
      </c>
      <c r="M107" s="216">
        <f t="shared" si="26"/>
        <v>-1.551193166479814E-2</v>
      </c>
      <c r="N107" s="216">
        <f t="shared" si="26"/>
        <v>-0.30813650643790802</v>
      </c>
      <c r="O107" s="216">
        <f t="shared" si="26"/>
        <v>0.12106918238993702</v>
      </c>
      <c r="P107" s="216">
        <f t="shared" si="26"/>
        <v>-0.11091671611282228</v>
      </c>
      <c r="Q107" s="216">
        <f t="shared" si="26"/>
        <v>3.0800770939982014E-2</v>
      </c>
      <c r="R107" s="216">
        <f t="shared" si="26"/>
        <v>-6.5455865717781503E-2</v>
      </c>
      <c r="S107" s="216">
        <f t="shared" si="26"/>
        <v>-0.26688748867118384</v>
      </c>
      <c r="T107" s="216"/>
      <c r="U107" s="216">
        <f t="shared" si="26"/>
        <v>-0.12619713570519919</v>
      </c>
      <c r="V107" s="216"/>
      <c r="W107" s="216">
        <f t="shared" si="26"/>
        <v>2.7064429530201384E-2</v>
      </c>
      <c r="X107" s="216">
        <f>(X106/X102)-1</f>
        <v>-0.23955109669181918</v>
      </c>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s="4" customFormat="1">
      <c r="N108" s="1"/>
      <c r="O108" s="1"/>
      <c r="P108" s="1"/>
      <c r="Q108" s="1"/>
      <c r="R108" s="1"/>
      <c r="S108" s="1"/>
      <c r="T108" s="1820"/>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s="4" customFormat="1">
      <c r="N109" s="1"/>
      <c r="O109" s="1"/>
      <c r="P109" s="1"/>
      <c r="Q109" s="1"/>
      <c r="R109" s="1"/>
      <c r="S109" s="1"/>
      <c r="T109" s="1820"/>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s="4" customFormat="1">
      <c r="N110" s="1"/>
      <c r="O110" s="1"/>
      <c r="P110" s="1"/>
      <c r="Q110" s="1"/>
      <c r="R110" s="1"/>
      <c r="S110" s="1"/>
      <c r="T110" s="1820"/>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s="4" customFormat="1">
      <c r="K111" s="111"/>
      <c r="N111" s="1"/>
      <c r="O111" s="1"/>
      <c r="P111" s="1"/>
      <c r="Q111" s="1"/>
      <c r="R111" s="1"/>
      <c r="S111" s="1"/>
      <c r="T111" s="1820"/>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s="4" customFormat="1">
      <c r="N112" s="1"/>
      <c r="O112" s="1"/>
      <c r="P112" s="1"/>
      <c r="Q112" s="1"/>
      <c r="R112" s="1"/>
      <c r="S112" s="1"/>
      <c r="T112" s="1820"/>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4:56" s="4" customFormat="1">
      <c r="T113" s="1830"/>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4:56" s="4" customFormat="1">
      <c r="N114" s="1"/>
      <c r="O114" s="1"/>
      <c r="P114" s="1"/>
      <c r="Q114" s="1"/>
      <c r="R114" s="1"/>
      <c r="S114" s="1"/>
      <c r="T114" s="1820"/>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4:56" s="4" customFormat="1">
      <c r="N115" s="1"/>
      <c r="O115" s="1"/>
      <c r="P115" s="1"/>
      <c r="Q115" s="1"/>
      <c r="R115" s="1"/>
      <c r="S115" s="1"/>
      <c r="T115" s="1820"/>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4:56" s="4" customFormat="1">
      <c r="N116" s="1"/>
      <c r="O116" s="1"/>
      <c r="P116" s="1"/>
      <c r="Q116" s="1"/>
      <c r="R116" s="1"/>
      <c r="S116" s="1"/>
      <c r="T116" s="1820"/>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4:56" s="4" customFormat="1">
      <c r="N117" s="1"/>
      <c r="O117" s="1"/>
      <c r="P117" s="1"/>
      <c r="Q117" s="1"/>
      <c r="R117" s="1"/>
      <c r="S117" s="1"/>
      <c r="T117" s="1820"/>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4:56" s="4" customFormat="1">
      <c r="N118" s="1"/>
      <c r="O118" s="1"/>
      <c r="P118" s="1"/>
      <c r="Q118" s="1"/>
      <c r="R118" s="1"/>
      <c r="S118" s="1"/>
      <c r="T118" s="1820"/>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4:56" s="4" customFormat="1">
      <c r="N119" s="1"/>
      <c r="O119" s="1"/>
      <c r="P119" s="1"/>
      <c r="Q119" s="1"/>
      <c r="R119" s="1"/>
      <c r="S119" s="1"/>
      <c r="T119" s="1820"/>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4:56" s="4" customFormat="1">
      <c r="N120" s="1"/>
      <c r="O120" s="1"/>
      <c r="P120" s="1"/>
      <c r="Q120" s="1"/>
      <c r="R120" s="1"/>
      <c r="S120" s="1"/>
      <c r="T120" s="1820"/>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4:56" s="4" customFormat="1">
      <c r="N121" s="1"/>
      <c r="O121" s="1"/>
      <c r="P121" s="1"/>
      <c r="Q121" s="1"/>
      <c r="R121" s="1"/>
      <c r="S121" s="1"/>
      <c r="T121" s="1820"/>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4:56" s="4" customFormat="1">
      <c r="N122" s="1"/>
      <c r="O122" s="1"/>
      <c r="P122" s="1"/>
      <c r="Q122" s="1"/>
      <c r="R122" s="1"/>
      <c r="S122" s="1"/>
      <c r="T122" s="1820"/>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4:56" s="4" customFormat="1">
      <c r="N123" s="1"/>
      <c r="O123" s="1"/>
      <c r="P123" s="1"/>
      <c r="Q123" s="1"/>
      <c r="R123" s="1"/>
      <c r="S123" s="1"/>
      <c r="T123" s="1820"/>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4:56" s="4" customFormat="1">
      <c r="N124" s="1"/>
      <c r="O124" s="1"/>
      <c r="P124" s="1"/>
      <c r="Q124" s="1"/>
      <c r="R124" s="1"/>
      <c r="S124" s="1"/>
      <c r="T124" s="1820"/>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4:56" s="4" customFormat="1">
      <c r="N125" s="1"/>
      <c r="O125" s="1"/>
      <c r="P125" s="1"/>
      <c r="Q125" s="1"/>
      <c r="R125" s="1"/>
      <c r="S125" s="1"/>
      <c r="T125" s="1820"/>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4:56" s="4" customFormat="1" ht="13.5" customHeight="1">
      <c r="N126" s="1"/>
      <c r="O126" s="1"/>
      <c r="P126" s="1"/>
      <c r="Q126" s="1"/>
      <c r="R126" s="1"/>
      <c r="S126" s="1"/>
      <c r="T126" s="1820"/>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4:56" s="4" customFormat="1" ht="22.5" customHeight="1">
      <c r="N127" s="1"/>
      <c r="O127" s="1"/>
      <c r="P127" s="1"/>
      <c r="Q127" s="1"/>
      <c r="R127" s="1"/>
      <c r="S127" s="1"/>
      <c r="T127" s="1820"/>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4:56" s="4" customFormat="1" ht="25.5" customHeight="1">
      <c r="N128" s="1"/>
      <c r="O128" s="1"/>
      <c r="P128" s="1"/>
      <c r="Q128" s="1"/>
      <c r="R128" s="1"/>
      <c r="S128" s="1"/>
      <c r="T128" s="1820"/>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8:56" s="4" customFormat="1" ht="25.5" customHeight="1">
      <c r="N129" s="1"/>
      <c r="O129" s="1"/>
      <c r="P129" s="1"/>
      <c r="Q129" s="1"/>
      <c r="R129" s="1"/>
      <c r="S129" s="1"/>
      <c r="T129" s="1820"/>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8:56" s="4" customFormat="1" ht="25.5" customHeight="1">
      <c r="N130" s="1"/>
      <c r="O130" s="1"/>
      <c r="P130" s="1"/>
      <c r="Q130" s="1"/>
      <c r="R130" s="1"/>
      <c r="S130" s="1"/>
      <c r="T130" s="1820"/>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8:56">
      <c r="H131" s="672"/>
    </row>
    <row r="428" spans="1:56" s="4" customFormat="1">
      <c r="A428" s="97"/>
      <c r="B428" s="42"/>
      <c r="C428" s="42"/>
      <c r="D428" s="42"/>
      <c r="E428" s="42"/>
      <c r="F428" s="42"/>
      <c r="G428" s="42"/>
      <c r="H428" s="42"/>
      <c r="I428" s="42"/>
      <c r="N428" s="1"/>
      <c r="O428" s="1"/>
      <c r="P428" s="1"/>
      <c r="Q428" s="1"/>
      <c r="R428" s="1"/>
      <c r="S428" s="1"/>
      <c r="T428" s="1820"/>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s="4" customFormat="1">
      <c r="A429" s="51"/>
      <c r="N429" s="1"/>
      <c r="O429" s="1"/>
      <c r="P429" s="1"/>
      <c r="Q429" s="1"/>
      <c r="R429" s="1"/>
      <c r="S429" s="1"/>
      <c r="T429" s="1820"/>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s="4" customFormat="1">
      <c r="A430" s="51"/>
      <c r="N430" s="1"/>
      <c r="O430" s="1"/>
      <c r="P430" s="1"/>
      <c r="Q430" s="1"/>
      <c r="R430" s="1"/>
      <c r="S430" s="1"/>
      <c r="T430" s="1820"/>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s="4" customFormat="1">
      <c r="A431" s="51"/>
      <c r="N431" s="1"/>
      <c r="O431" s="1"/>
      <c r="P431" s="1"/>
      <c r="Q431" s="1"/>
      <c r="R431" s="1"/>
      <c r="S431" s="1"/>
      <c r="T431" s="1820"/>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s="4" customFormat="1">
      <c r="A432" s="51"/>
      <c r="N432" s="1"/>
      <c r="O432" s="1"/>
      <c r="P432" s="1"/>
      <c r="Q432" s="1"/>
      <c r="R432" s="1"/>
      <c r="S432" s="1"/>
      <c r="T432" s="1820"/>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s="4" customFormat="1">
      <c r="A433" s="51"/>
      <c r="N433" s="1"/>
      <c r="O433" s="1"/>
      <c r="P433" s="1"/>
      <c r="Q433" s="1"/>
      <c r="R433" s="1"/>
      <c r="S433" s="1"/>
      <c r="T433" s="1820"/>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s="4" customFormat="1">
      <c r="A434" s="51"/>
      <c r="N434" s="1"/>
      <c r="O434" s="1"/>
      <c r="P434" s="1"/>
      <c r="Q434" s="1"/>
      <c r="R434" s="1"/>
      <c r="S434" s="1"/>
      <c r="T434" s="1820"/>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s="4" customFormat="1">
      <c r="A435" s="51"/>
      <c r="N435" s="1"/>
      <c r="O435" s="1"/>
      <c r="P435" s="1"/>
      <c r="Q435" s="1"/>
      <c r="R435" s="1"/>
      <c r="S435" s="1"/>
      <c r="T435" s="1820"/>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s="4" customFormat="1">
      <c r="A436" s="51"/>
      <c r="N436" s="1"/>
      <c r="O436" s="1"/>
      <c r="P436" s="1"/>
      <c r="Q436" s="1"/>
      <c r="R436" s="1"/>
      <c r="S436" s="1"/>
      <c r="T436" s="1820"/>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s="4" customFormat="1">
      <c r="A437" s="51"/>
      <c r="N437" s="1"/>
      <c r="O437" s="1"/>
      <c r="P437" s="1"/>
      <c r="Q437" s="1"/>
      <c r="R437" s="1"/>
      <c r="S437" s="1"/>
      <c r="T437" s="1820"/>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s="4" customFormat="1">
      <c r="A438" s="51"/>
      <c r="N438" s="1"/>
      <c r="O438" s="1"/>
      <c r="P438" s="1"/>
      <c r="Q438" s="1"/>
      <c r="R438" s="1"/>
      <c r="S438" s="1"/>
      <c r="T438" s="1820"/>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s="4" customFormat="1">
      <c r="A439" s="51"/>
      <c r="N439" s="1"/>
      <c r="O439" s="1"/>
      <c r="P439" s="1"/>
      <c r="Q439" s="1"/>
      <c r="R439" s="1"/>
      <c r="S439" s="1"/>
      <c r="T439" s="1820"/>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s="4" customFormat="1">
      <c r="A440" s="51"/>
      <c r="N440" s="1"/>
      <c r="O440" s="1"/>
      <c r="P440" s="1"/>
      <c r="Q440" s="1"/>
      <c r="R440" s="1"/>
      <c r="S440" s="1"/>
      <c r="T440" s="1820"/>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s="4" customFormat="1">
      <c r="A441" s="51"/>
      <c r="N441" s="1"/>
      <c r="O441" s="1"/>
      <c r="P441" s="1"/>
      <c r="Q441" s="1"/>
      <c r="R441" s="1"/>
      <c r="S441" s="1"/>
      <c r="T441" s="1820"/>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s="4" customFormat="1">
      <c r="A442" s="51"/>
      <c r="N442" s="1"/>
      <c r="O442" s="1"/>
      <c r="P442" s="1"/>
      <c r="Q442" s="1"/>
      <c r="R442" s="1"/>
      <c r="S442" s="1"/>
      <c r="T442" s="1820"/>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s="4" customFormat="1">
      <c r="A443" s="51"/>
      <c r="N443" s="1"/>
      <c r="O443" s="1"/>
      <c r="P443" s="1"/>
      <c r="Q443" s="1"/>
      <c r="R443" s="1"/>
      <c r="S443" s="1"/>
      <c r="T443" s="1820"/>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s="4" customFormat="1">
      <c r="A444" s="51"/>
      <c r="N444" s="1"/>
      <c r="O444" s="1"/>
      <c r="P444" s="1"/>
      <c r="Q444" s="1"/>
      <c r="R444" s="1"/>
      <c r="S444" s="1"/>
      <c r="T444" s="1820"/>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s="4" customFormat="1">
      <c r="A445" s="51"/>
      <c r="N445" s="1"/>
      <c r="O445" s="1"/>
      <c r="P445" s="1"/>
      <c r="Q445" s="1"/>
      <c r="R445" s="1"/>
      <c r="S445" s="1"/>
      <c r="T445" s="1820"/>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s="4" customFormat="1">
      <c r="A446" s="51"/>
      <c r="N446" s="1"/>
      <c r="O446" s="1"/>
      <c r="P446" s="1"/>
      <c r="Q446" s="1"/>
      <c r="R446" s="1"/>
      <c r="S446" s="1"/>
      <c r="T446" s="1820"/>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s="4" customFormat="1">
      <c r="A447" s="51"/>
      <c r="N447" s="1"/>
      <c r="O447" s="1"/>
      <c r="P447" s="1"/>
      <c r="Q447" s="1"/>
      <c r="R447" s="1"/>
      <c r="S447" s="1"/>
      <c r="T447" s="1820"/>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s="4" customFormat="1">
      <c r="A448" s="53"/>
      <c r="B448" s="40"/>
      <c r="C448" s="40"/>
      <c r="D448" s="40"/>
      <c r="E448" s="40"/>
      <c r="F448" s="40"/>
      <c r="G448" s="40"/>
      <c r="H448" s="40"/>
      <c r="I448" s="40"/>
      <c r="N448" s="1"/>
      <c r="O448" s="1"/>
      <c r="P448" s="1"/>
      <c r="Q448" s="1"/>
      <c r="R448" s="1"/>
      <c r="S448" s="1"/>
      <c r="T448" s="1820"/>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sheetData>
  <mergeCells count="12">
    <mergeCell ref="A1:F1"/>
    <mergeCell ref="B8:F8"/>
    <mergeCell ref="M9:O9"/>
    <mergeCell ref="P9:R9"/>
    <mergeCell ref="U9:W9"/>
    <mergeCell ref="B5:F5"/>
    <mergeCell ref="B2:E2"/>
    <mergeCell ref="B3:F3"/>
    <mergeCell ref="B4:F4"/>
    <mergeCell ref="B6:F6"/>
    <mergeCell ref="B7:F7"/>
    <mergeCell ref="S9:T9"/>
  </mergeCells>
  <pageMargins left="0.7" right="0.7" top="0.75" bottom="0.75" header="0.3" footer="0.3"/>
  <pageSetup paperSize="9" scale="98" orientation="portrait" r:id="rId1"/>
  <ignoredErrors>
    <ignoredError sqref="F50:F70 X96:X97" formulaRange="1"/>
    <ignoredError sqref="G8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rgb="FFFFFF00"/>
  </sheetPr>
  <dimension ref="A1:BE448"/>
  <sheetViews>
    <sheetView showGridLines="0" view="pageBreakPreview" topLeftCell="A10" zoomScale="85" zoomScaleNormal="85" zoomScaleSheetLayoutView="85" workbookViewId="0">
      <selection activeCell="B109" sqref="B109:G109"/>
    </sheetView>
  </sheetViews>
  <sheetFormatPr baseColWidth="10" defaultColWidth="12" defaultRowHeight="12.75"/>
  <cols>
    <col min="1" max="1" width="22.83203125" style="1" customWidth="1"/>
    <col min="2" max="2" width="16.83203125" style="1" customWidth="1"/>
    <col min="3" max="3" width="14" style="1" customWidth="1"/>
    <col min="4" max="4" width="11.33203125" style="1" customWidth="1"/>
    <col min="5" max="5" width="11.6640625" style="1" customWidth="1"/>
    <col min="6" max="6" width="13" style="1" customWidth="1"/>
    <col min="7" max="7" width="12.33203125" style="1" customWidth="1"/>
    <col min="8" max="8" width="12.83203125" style="4" customWidth="1"/>
    <col min="9" max="9" width="15.5" style="4" bestFit="1" customWidth="1"/>
    <col min="10" max="10" width="12.5" style="4" bestFit="1" customWidth="1"/>
    <col min="11" max="11" width="13.33203125" style="4" customWidth="1"/>
    <col min="12" max="15" width="12" style="4"/>
    <col min="16" max="16384" width="12" style="1"/>
  </cols>
  <sheetData>
    <row r="1" spans="1:37" ht="35.25" customHeight="1" thickTop="1">
      <c r="A1" s="3024" t="s">
        <v>7</v>
      </c>
      <c r="B1" s="3025"/>
      <c r="C1" s="3025"/>
      <c r="D1" s="3025"/>
      <c r="E1" s="3025"/>
      <c r="F1" s="3025"/>
      <c r="G1" s="3026"/>
    </row>
    <row r="2" spans="1:37" s="3" customFormat="1" ht="24" customHeight="1">
      <c r="A2" s="130" t="s">
        <v>18</v>
      </c>
      <c r="B2" s="3014" t="s">
        <v>232</v>
      </c>
      <c r="C2" s="3015"/>
      <c r="D2" s="3015"/>
      <c r="E2" s="3015"/>
      <c r="F2" s="3016"/>
      <c r="G2" s="131" t="s">
        <v>132</v>
      </c>
      <c r="H2" s="62"/>
      <c r="I2" s="62"/>
      <c r="J2" s="62"/>
      <c r="K2" s="62"/>
      <c r="L2" s="62"/>
      <c r="M2" s="62"/>
      <c r="N2" s="62"/>
      <c r="O2" s="62"/>
    </row>
    <row r="3" spans="1:37" s="3" customFormat="1" ht="21" customHeight="1">
      <c r="A3" s="130" t="s">
        <v>17</v>
      </c>
      <c r="B3" s="3017" t="s">
        <v>139</v>
      </c>
      <c r="C3" s="3018"/>
      <c r="D3" s="3018"/>
      <c r="E3" s="3018"/>
      <c r="F3" s="3018"/>
      <c r="G3" s="3028"/>
      <c r="H3" s="62"/>
      <c r="I3" s="62"/>
      <c r="J3" s="62"/>
      <c r="K3" s="62"/>
      <c r="L3" s="62"/>
      <c r="M3" s="62"/>
      <c r="N3" s="62"/>
      <c r="O3" s="62"/>
    </row>
    <row r="4" spans="1:37" s="3" customFormat="1" ht="18.75" customHeight="1">
      <c r="A4" s="130" t="s">
        <v>8</v>
      </c>
      <c r="B4" s="3017" t="s">
        <v>10</v>
      </c>
      <c r="C4" s="3018"/>
      <c r="D4" s="3018"/>
      <c r="E4" s="3018"/>
      <c r="F4" s="3018"/>
      <c r="G4" s="3028"/>
      <c r="H4" s="62"/>
      <c r="I4" s="62"/>
      <c r="J4" s="62"/>
      <c r="K4" s="62"/>
      <c r="L4" s="62"/>
      <c r="M4" s="62"/>
      <c r="N4" s="62"/>
      <c r="O4" s="62"/>
    </row>
    <row r="5" spans="1:37" s="3" customFormat="1" ht="24" customHeight="1">
      <c r="A5" s="130" t="s">
        <v>11</v>
      </c>
      <c r="B5" s="3017" t="s">
        <v>164</v>
      </c>
      <c r="C5" s="3018"/>
      <c r="D5" s="3018"/>
      <c r="E5" s="3018"/>
      <c r="F5" s="3018"/>
      <c r="G5" s="3028"/>
      <c r="H5" s="62"/>
      <c r="I5" s="62"/>
      <c r="J5" s="72"/>
      <c r="K5" s="4"/>
      <c r="L5" s="73"/>
      <c r="M5" s="4"/>
      <c r="N5" s="72"/>
      <c r="O5" s="62"/>
    </row>
    <row r="6" spans="1:37" s="3" customFormat="1" ht="19.5" customHeight="1">
      <c r="A6" s="130" t="s">
        <v>16</v>
      </c>
      <c r="B6" s="3017" t="s">
        <v>12</v>
      </c>
      <c r="C6" s="3018"/>
      <c r="D6" s="3018"/>
      <c r="E6" s="3018"/>
      <c r="F6" s="3018"/>
      <c r="G6" s="3028"/>
      <c r="H6" s="62"/>
      <c r="I6" s="62"/>
      <c r="J6" s="62"/>
      <c r="K6" s="62"/>
      <c r="L6" s="62"/>
      <c r="M6" s="62"/>
      <c r="N6" s="62"/>
      <c r="O6" s="62"/>
    </row>
    <row r="7" spans="1:37" s="3" customFormat="1" ht="18.75" customHeight="1">
      <c r="A7" s="132" t="s">
        <v>9</v>
      </c>
      <c r="B7" s="3017" t="s">
        <v>700</v>
      </c>
      <c r="C7" s="3018"/>
      <c r="D7" s="3018"/>
      <c r="E7" s="3018"/>
      <c r="F7" s="3018"/>
      <c r="G7" s="3028"/>
      <c r="H7" s="62"/>
      <c r="I7" s="62"/>
      <c r="J7" s="62"/>
      <c r="K7" s="62"/>
      <c r="L7" s="62"/>
      <c r="M7" s="62"/>
      <c r="N7" s="62"/>
      <c r="O7" s="62"/>
      <c r="AK7" s="37"/>
    </row>
    <row r="8" spans="1:37" s="3" customFormat="1" ht="19.5" customHeight="1">
      <c r="A8" s="130" t="s">
        <v>21</v>
      </c>
      <c r="B8" s="3011"/>
      <c r="C8" s="3012"/>
      <c r="D8" s="3012"/>
      <c r="E8" s="3012"/>
      <c r="F8" s="3012"/>
      <c r="G8" s="3027"/>
      <c r="H8" s="62"/>
      <c r="I8" s="62"/>
      <c r="J8" s="62"/>
      <c r="K8" s="62"/>
      <c r="L8" s="62"/>
      <c r="M8" s="62"/>
      <c r="N8" s="62"/>
      <c r="O8" s="62"/>
    </row>
    <row r="9" spans="1:37" ht="13.5" thickBot="1">
      <c r="A9" s="133"/>
      <c r="B9" s="4"/>
      <c r="C9" s="4"/>
      <c r="D9" s="4"/>
      <c r="E9" s="4"/>
      <c r="F9" s="4"/>
      <c r="G9" s="134"/>
    </row>
    <row r="10" spans="1:37" s="4" customFormat="1" ht="15.75" customHeight="1">
      <c r="A10" s="589" t="s">
        <v>56</v>
      </c>
      <c r="B10" s="590" t="s">
        <v>0</v>
      </c>
      <c r="C10" s="590" t="s">
        <v>1</v>
      </c>
      <c r="D10" s="590" t="s">
        <v>2</v>
      </c>
      <c r="E10" s="590" t="s">
        <v>3</v>
      </c>
      <c r="F10" s="590" t="s">
        <v>4</v>
      </c>
      <c r="G10" s="591" t="s">
        <v>5</v>
      </c>
    </row>
    <row r="11" spans="1:37" hidden="1">
      <c r="A11" s="194">
        <v>40544</v>
      </c>
      <c r="B11" s="85">
        <v>1160.434</v>
      </c>
      <c r="C11" s="86">
        <v>880.601</v>
      </c>
      <c r="D11" s="86">
        <v>29.283000000000001</v>
      </c>
      <c r="E11" s="86">
        <v>103.68600000000001</v>
      </c>
      <c r="F11" s="86">
        <v>498.488</v>
      </c>
      <c r="G11" s="592">
        <f>SUM(B11:F11)</f>
        <v>2672.4919999999997</v>
      </c>
      <c r="P11" s="644"/>
    </row>
    <row r="12" spans="1:37" hidden="1">
      <c r="A12" s="195">
        <v>40575</v>
      </c>
      <c r="B12" s="87">
        <v>1212.8030000000001</v>
      </c>
      <c r="C12" s="88">
        <v>949.56299999999999</v>
      </c>
      <c r="D12" s="88">
        <v>32.417999999999999</v>
      </c>
      <c r="E12" s="88">
        <v>117.32599999999999</v>
      </c>
      <c r="F12" s="88">
        <v>577.08699999999999</v>
      </c>
      <c r="G12" s="593">
        <f t="shared" ref="G12:G51" si="0">SUM(B12:F12)</f>
        <v>2889.1970000000001</v>
      </c>
      <c r="P12" s="644"/>
      <c r="Q12" s="32"/>
    </row>
    <row r="13" spans="1:37" hidden="1">
      <c r="A13" s="195">
        <v>40603</v>
      </c>
      <c r="B13" s="87">
        <v>1343.374</v>
      </c>
      <c r="C13" s="88">
        <v>1013.715</v>
      </c>
      <c r="D13" s="88">
        <v>28.408000000000001</v>
      </c>
      <c r="E13" s="88">
        <v>122.17700000000001</v>
      </c>
      <c r="F13" s="88">
        <v>565.6</v>
      </c>
      <c r="G13" s="593">
        <f t="shared" si="0"/>
        <v>3073.2739999999999</v>
      </c>
      <c r="P13" s="644"/>
      <c r="Q13" s="32"/>
    </row>
    <row r="14" spans="1:37" hidden="1">
      <c r="A14" s="195">
        <v>40634</v>
      </c>
      <c r="B14" s="87">
        <v>1212.123</v>
      </c>
      <c r="C14" s="88">
        <v>988.51499999999999</v>
      </c>
      <c r="D14" s="88">
        <v>29.385000000000002</v>
      </c>
      <c r="E14" s="88">
        <v>114.413</v>
      </c>
      <c r="F14" s="88">
        <v>500.59699999999998</v>
      </c>
      <c r="G14" s="593">
        <f t="shared" si="0"/>
        <v>2845.0330000000004</v>
      </c>
      <c r="P14" s="644"/>
      <c r="Q14" s="32"/>
    </row>
    <row r="15" spans="1:37" hidden="1">
      <c r="A15" s="195">
        <v>40664</v>
      </c>
      <c r="B15" s="87">
        <v>1204.864</v>
      </c>
      <c r="C15" s="88">
        <v>1004.907</v>
      </c>
      <c r="D15" s="88">
        <v>25.652999999999999</v>
      </c>
      <c r="E15" s="88">
        <v>115.21</v>
      </c>
      <c r="F15" s="88">
        <v>613.22799999999995</v>
      </c>
      <c r="G15" s="593">
        <f t="shared" si="0"/>
        <v>2963.8620000000001</v>
      </c>
      <c r="P15" s="644"/>
      <c r="Q15" s="32"/>
    </row>
    <row r="16" spans="1:37" hidden="1">
      <c r="A16" s="195">
        <v>40695</v>
      </c>
      <c r="B16" s="87">
        <v>1151.798</v>
      </c>
      <c r="C16" s="88">
        <v>1022.823</v>
      </c>
      <c r="D16" s="88">
        <v>30.5</v>
      </c>
      <c r="E16" s="88">
        <v>146.74100000000001</v>
      </c>
      <c r="F16" s="88">
        <v>566.37</v>
      </c>
      <c r="G16" s="593">
        <f t="shared" si="0"/>
        <v>2918.232</v>
      </c>
    </row>
    <row r="17" spans="1:7" hidden="1">
      <c r="A17" s="196">
        <v>40725</v>
      </c>
      <c r="B17" s="125">
        <v>1089.04</v>
      </c>
      <c r="C17" s="126">
        <v>906.15</v>
      </c>
      <c r="D17" s="126">
        <v>31.536000000000001</v>
      </c>
      <c r="E17" s="126">
        <v>150.39599999999999</v>
      </c>
      <c r="F17" s="126">
        <v>515.13300000000004</v>
      </c>
      <c r="G17" s="594">
        <f t="shared" si="0"/>
        <v>2692.2550000000001</v>
      </c>
    </row>
    <row r="18" spans="1:7" hidden="1">
      <c r="A18" s="196">
        <v>40756</v>
      </c>
      <c r="B18" s="125">
        <v>1005.821</v>
      </c>
      <c r="C18" s="126">
        <v>804.95799999999997</v>
      </c>
      <c r="D18" s="126">
        <v>27.177</v>
      </c>
      <c r="E18" s="126">
        <v>235.17</v>
      </c>
      <c r="F18" s="126">
        <v>464.86099999999999</v>
      </c>
      <c r="G18" s="594">
        <f t="shared" si="0"/>
        <v>2537.9869999999996</v>
      </c>
    </row>
    <row r="19" spans="1:7" hidden="1">
      <c r="A19" s="196">
        <v>40787</v>
      </c>
      <c r="B19" s="125">
        <v>1072.7</v>
      </c>
      <c r="C19" s="126">
        <v>837.14</v>
      </c>
      <c r="D19" s="126">
        <v>28.656639999999999</v>
      </c>
      <c r="E19" s="126">
        <v>131.97499999999999</v>
      </c>
      <c r="F19" s="126">
        <v>503.09161599999999</v>
      </c>
      <c r="G19" s="594">
        <f t="shared" si="0"/>
        <v>2573.5632560000004</v>
      </c>
    </row>
    <row r="20" spans="1:7" hidden="1">
      <c r="A20" s="196">
        <v>40817</v>
      </c>
      <c r="B20" s="125">
        <v>1011.754</v>
      </c>
      <c r="C20" s="126">
        <v>756.40800000000002</v>
      </c>
      <c r="D20" s="126">
        <v>26.363800999999999</v>
      </c>
      <c r="E20" s="126">
        <v>137.536</v>
      </c>
      <c r="F20" s="126">
        <v>448.00053700000001</v>
      </c>
      <c r="G20" s="594">
        <f t="shared" si="0"/>
        <v>2380.0623380000002</v>
      </c>
    </row>
    <row r="21" spans="1:7" hidden="1">
      <c r="A21" s="196">
        <v>40848</v>
      </c>
      <c r="B21" s="125">
        <v>1069.932</v>
      </c>
      <c r="C21" s="126">
        <v>827.68498499999998</v>
      </c>
      <c r="D21" s="126">
        <v>28.262007000000001</v>
      </c>
      <c r="E21" s="126">
        <v>48.954999999999998</v>
      </c>
      <c r="F21" s="126">
        <v>496.211702</v>
      </c>
      <c r="G21" s="594">
        <f t="shared" si="0"/>
        <v>2471.0456939999999</v>
      </c>
    </row>
    <row r="22" spans="1:7" hidden="1">
      <c r="A22" s="196">
        <v>40878</v>
      </c>
      <c r="B22" s="125">
        <v>1070.3979999999999</v>
      </c>
      <c r="C22" s="126">
        <v>803.15800000000002</v>
      </c>
      <c r="D22" s="126">
        <v>33.761028000000003</v>
      </c>
      <c r="E22" s="126">
        <v>46.055999999999997</v>
      </c>
      <c r="F22" s="126">
        <v>545.30861400000003</v>
      </c>
      <c r="G22" s="594">
        <f t="shared" si="0"/>
        <v>2498.681642</v>
      </c>
    </row>
    <row r="23" spans="1:7" hidden="1">
      <c r="A23" s="895" t="s">
        <v>6</v>
      </c>
      <c r="B23" s="893">
        <v>13605.041000000001</v>
      </c>
      <c r="C23" s="893">
        <v>10795.622984999998</v>
      </c>
      <c r="D23" s="893">
        <v>351.40347600000001</v>
      </c>
      <c r="E23" s="893">
        <v>1469.6409999999998</v>
      </c>
      <c r="F23" s="893">
        <v>6293.9764689999993</v>
      </c>
      <c r="G23" s="943">
        <f t="shared" si="0"/>
        <v>32515.684929999996</v>
      </c>
    </row>
    <row r="24" spans="1:7" hidden="1">
      <c r="A24" s="194">
        <v>40909</v>
      </c>
      <c r="B24" s="941">
        <v>1261.047</v>
      </c>
      <c r="C24" s="941">
        <v>1045.9549999999999</v>
      </c>
      <c r="D24" s="941">
        <v>33.552076</v>
      </c>
      <c r="E24" s="941">
        <v>136.68700000000001</v>
      </c>
      <c r="F24" s="941">
        <v>670.82068400000003</v>
      </c>
      <c r="G24" s="944">
        <f t="shared" si="0"/>
        <v>3148.0617599999996</v>
      </c>
    </row>
    <row r="25" spans="1:7" hidden="1">
      <c r="A25" s="195">
        <v>40940</v>
      </c>
      <c r="B25" s="768">
        <v>1200.846</v>
      </c>
      <c r="C25" s="768">
        <v>957.726</v>
      </c>
      <c r="D25" s="768">
        <v>28.833000999999999</v>
      </c>
      <c r="E25" s="768">
        <v>104.27500000000001</v>
      </c>
      <c r="F25" s="768">
        <v>599.71936700000003</v>
      </c>
      <c r="G25" s="945">
        <f t="shared" si="0"/>
        <v>2891.3993680000003</v>
      </c>
    </row>
    <row r="26" spans="1:7" hidden="1">
      <c r="A26" s="195">
        <v>40969</v>
      </c>
      <c r="B26" s="768">
        <v>1302.7639999999999</v>
      </c>
      <c r="C26" s="768">
        <v>1140.4670000000001</v>
      </c>
      <c r="D26" s="768">
        <v>29.955901000000001</v>
      </c>
      <c r="E26" s="768">
        <v>101.703</v>
      </c>
      <c r="F26" s="768">
        <v>686.25732300000004</v>
      </c>
      <c r="G26" s="945">
        <f t="shared" si="0"/>
        <v>3261.1472239999994</v>
      </c>
    </row>
    <row r="27" spans="1:7" hidden="1">
      <c r="A27" s="195">
        <v>41000</v>
      </c>
      <c r="B27" s="768">
        <v>1373.4739999999999</v>
      </c>
      <c r="C27" s="768">
        <v>1152.8040000000001</v>
      </c>
      <c r="D27" s="768">
        <v>30.726794000000002</v>
      </c>
      <c r="E27" s="768">
        <v>100.73099999999999</v>
      </c>
      <c r="F27" s="768">
        <v>689.180071</v>
      </c>
      <c r="G27" s="945">
        <f t="shared" si="0"/>
        <v>3346.9158649999999</v>
      </c>
    </row>
    <row r="28" spans="1:7" hidden="1">
      <c r="A28" s="195">
        <v>41030</v>
      </c>
      <c r="B28" s="768">
        <v>1494.277</v>
      </c>
      <c r="C28" s="768">
        <v>1204.752</v>
      </c>
      <c r="D28" s="768">
        <v>31.612739999999999</v>
      </c>
      <c r="E28" s="768">
        <v>111.101</v>
      </c>
      <c r="F28" s="768">
        <v>726.03822000000002</v>
      </c>
      <c r="G28" s="945">
        <f t="shared" si="0"/>
        <v>3567.7809600000001</v>
      </c>
    </row>
    <row r="29" spans="1:7" hidden="1">
      <c r="A29" s="195">
        <v>41061</v>
      </c>
      <c r="B29" s="768">
        <v>1341.991</v>
      </c>
      <c r="C29" s="768">
        <v>1078.5060000000001</v>
      </c>
      <c r="D29" s="768">
        <v>29.754999999999999</v>
      </c>
      <c r="E29" s="768">
        <v>119.702</v>
      </c>
      <c r="F29" s="768">
        <v>690.64200000000005</v>
      </c>
      <c r="G29" s="945">
        <f t="shared" si="0"/>
        <v>3260.5960000000005</v>
      </c>
    </row>
    <row r="30" spans="1:7" hidden="1">
      <c r="A30" s="196">
        <v>41091</v>
      </c>
      <c r="B30" s="942">
        <v>1187.576</v>
      </c>
      <c r="C30" s="942">
        <v>955.16800000000001</v>
      </c>
      <c r="D30" s="942">
        <v>29.289000000000001</v>
      </c>
      <c r="E30" s="942">
        <v>119.676</v>
      </c>
      <c r="F30" s="942">
        <v>567.66099999999994</v>
      </c>
      <c r="G30" s="946">
        <f t="shared" si="0"/>
        <v>2859.3700000000003</v>
      </c>
    </row>
    <row r="31" spans="1:7" hidden="1">
      <c r="A31" s="196">
        <v>41122</v>
      </c>
      <c r="B31" s="942">
        <v>1202.1030000000001</v>
      </c>
      <c r="C31" s="942">
        <v>923.59900000000005</v>
      </c>
      <c r="D31" s="942">
        <v>28.446000000000002</v>
      </c>
      <c r="E31" s="942">
        <v>126.514</v>
      </c>
      <c r="F31" s="942">
        <v>536.78800000000001</v>
      </c>
      <c r="G31" s="946">
        <f t="shared" si="0"/>
        <v>2817.4500000000003</v>
      </c>
    </row>
    <row r="32" spans="1:7" hidden="1">
      <c r="A32" s="196">
        <v>41153</v>
      </c>
      <c r="B32" s="942">
        <v>1178.72</v>
      </c>
      <c r="C32" s="942">
        <v>870.57799999999997</v>
      </c>
      <c r="D32" s="942">
        <v>29.035</v>
      </c>
      <c r="E32" s="942">
        <v>121.718</v>
      </c>
      <c r="F32" s="942">
        <v>543.86500000000001</v>
      </c>
      <c r="G32" s="946">
        <f t="shared" si="0"/>
        <v>2743.9159999999993</v>
      </c>
    </row>
    <row r="33" spans="1:57" hidden="1">
      <c r="A33" s="196">
        <v>41183</v>
      </c>
      <c r="B33" s="942">
        <v>1137.816</v>
      </c>
      <c r="C33" s="942">
        <v>876.27700000000004</v>
      </c>
      <c r="D33" s="942">
        <v>27.084</v>
      </c>
      <c r="E33" s="942">
        <v>125.464</v>
      </c>
      <c r="F33" s="942">
        <v>582.12099999999998</v>
      </c>
      <c r="G33" s="946">
        <f t="shared" si="0"/>
        <v>2748.7620000000002</v>
      </c>
    </row>
    <row r="34" spans="1:57" hidden="1">
      <c r="A34" s="196">
        <v>41214</v>
      </c>
      <c r="B34" s="942">
        <v>1132.231</v>
      </c>
      <c r="C34" s="942">
        <v>828.26300000000003</v>
      </c>
      <c r="D34" s="942">
        <v>29.757000000000001</v>
      </c>
      <c r="E34" s="942">
        <v>100.253</v>
      </c>
      <c r="F34" s="942">
        <v>610.94600000000003</v>
      </c>
      <c r="G34" s="946">
        <f t="shared" si="0"/>
        <v>2701.4500000000003</v>
      </c>
    </row>
    <row r="35" spans="1:57" s="4" customFormat="1" hidden="1">
      <c r="A35" s="196">
        <v>41244</v>
      </c>
      <c r="B35" s="942">
        <v>1164.2629999999999</v>
      </c>
      <c r="C35" s="942">
        <v>858.83799999999997</v>
      </c>
      <c r="D35" s="942">
        <v>33.914000000000001</v>
      </c>
      <c r="E35" s="942">
        <v>109.611</v>
      </c>
      <c r="F35" s="942">
        <v>688.32100000000003</v>
      </c>
      <c r="G35" s="946">
        <f t="shared" si="0"/>
        <v>2854.9469999999997</v>
      </c>
    </row>
    <row r="36" spans="1:57" hidden="1">
      <c r="A36" s="896" t="s">
        <v>192</v>
      </c>
      <c r="B36" s="942">
        <v>14977.108</v>
      </c>
      <c r="C36" s="942">
        <v>11892.932999999999</v>
      </c>
      <c r="D36" s="942">
        <v>361.96051199999999</v>
      </c>
      <c r="E36" s="942">
        <v>1377.4350000000002</v>
      </c>
      <c r="F36" s="942">
        <v>7592.359664999999</v>
      </c>
      <c r="G36" s="946">
        <f t="shared" si="0"/>
        <v>36201.796176999997</v>
      </c>
    </row>
    <row r="37" spans="1:57" hidden="1">
      <c r="A37" s="196">
        <v>41275</v>
      </c>
      <c r="B37" s="942">
        <v>1477.672</v>
      </c>
      <c r="C37" s="942">
        <v>1131.4540000000002</v>
      </c>
      <c r="D37" s="942">
        <v>37.118000000000002</v>
      </c>
      <c r="E37" s="942">
        <v>110.057</v>
      </c>
      <c r="F37" s="942">
        <v>664.86600000000021</v>
      </c>
      <c r="G37" s="946">
        <f t="shared" si="0"/>
        <v>3421.1670000000004</v>
      </c>
      <c r="I37" s="642"/>
      <c r="J37" s="642"/>
      <c r="K37" s="642"/>
    </row>
    <row r="38" spans="1:57" hidden="1">
      <c r="A38" s="196">
        <v>41306</v>
      </c>
      <c r="B38" s="942">
        <v>1463.8799999999999</v>
      </c>
      <c r="C38" s="942">
        <v>1149.826</v>
      </c>
      <c r="D38" s="942">
        <v>34.768999999999998</v>
      </c>
      <c r="E38" s="942">
        <v>113.315</v>
      </c>
      <c r="F38" s="942">
        <v>713.38499999999999</v>
      </c>
      <c r="G38" s="946">
        <f t="shared" si="0"/>
        <v>3475.1750000000002</v>
      </c>
      <c r="I38" s="642"/>
      <c r="J38" s="642"/>
      <c r="K38" s="642"/>
    </row>
    <row r="39" spans="1:57" s="378" customFormat="1" hidden="1">
      <c r="A39" s="196">
        <v>41334</v>
      </c>
      <c r="B39" s="942">
        <v>1438.1399999999999</v>
      </c>
      <c r="C39" s="942">
        <v>1202.31</v>
      </c>
      <c r="D39" s="942">
        <v>31.863999999999997</v>
      </c>
      <c r="E39" s="942">
        <v>132.572</v>
      </c>
      <c r="F39" s="942">
        <v>789.30899999999986</v>
      </c>
      <c r="G39" s="946">
        <f t="shared" si="0"/>
        <v>3594.1949999999997</v>
      </c>
      <c r="H39" s="374"/>
      <c r="I39" s="642"/>
      <c r="J39" s="643"/>
      <c r="K39" s="642"/>
      <c r="L39" s="374"/>
      <c r="M39" s="374"/>
      <c r="N39" s="374"/>
      <c r="O39" s="374"/>
    </row>
    <row r="40" spans="1:57" hidden="1">
      <c r="A40" s="196">
        <v>41365</v>
      </c>
      <c r="B40" s="942">
        <v>1500.713</v>
      </c>
      <c r="C40" s="942">
        <v>1304.8600000000001</v>
      </c>
      <c r="D40" s="942">
        <v>32.65</v>
      </c>
      <c r="E40" s="942">
        <v>113.637</v>
      </c>
      <c r="F40" s="942">
        <v>777.28899999999999</v>
      </c>
      <c r="G40" s="946">
        <f t="shared" si="0"/>
        <v>3729.1490000000003</v>
      </c>
      <c r="I40" s="642"/>
      <c r="J40" s="642"/>
      <c r="K40" s="642"/>
    </row>
    <row r="41" spans="1:57" hidden="1">
      <c r="A41" s="196">
        <v>41395</v>
      </c>
      <c r="B41" s="942">
        <v>1312.0709999999999</v>
      </c>
      <c r="C41" s="942">
        <v>1042.0320000000002</v>
      </c>
      <c r="D41" s="942">
        <v>30.222999999999999</v>
      </c>
      <c r="E41" s="942">
        <v>112.46199999999999</v>
      </c>
      <c r="F41" s="942">
        <v>629.03800000000001</v>
      </c>
      <c r="G41" s="946">
        <f t="shared" si="0"/>
        <v>3125.826</v>
      </c>
      <c r="I41" s="642"/>
      <c r="J41" s="642"/>
      <c r="K41" s="642"/>
      <c r="BE41" s="104">
        <v>0</v>
      </c>
    </row>
    <row r="42" spans="1:57" hidden="1">
      <c r="A42" s="196">
        <v>41426</v>
      </c>
      <c r="B42" s="791">
        <v>1242.1130000000001</v>
      </c>
      <c r="C42" s="791">
        <v>974.95900000000006</v>
      </c>
      <c r="D42" s="791">
        <v>31.536999999999999</v>
      </c>
      <c r="E42" s="791">
        <v>113.94799999999999</v>
      </c>
      <c r="F42" s="791">
        <v>593.05699999999979</v>
      </c>
      <c r="G42" s="894">
        <f t="shared" si="0"/>
        <v>2955.6139999999996</v>
      </c>
      <c r="I42" s="642"/>
      <c r="J42" s="642"/>
      <c r="K42" s="642"/>
    </row>
    <row r="43" spans="1:57" hidden="1">
      <c r="A43" s="196">
        <v>41456</v>
      </c>
      <c r="B43" s="791">
        <v>1166.231</v>
      </c>
      <c r="C43" s="791">
        <v>900.57000000000016</v>
      </c>
      <c r="D43" s="791">
        <v>29.698999999999998</v>
      </c>
      <c r="E43" s="791">
        <v>114.22999999999999</v>
      </c>
      <c r="F43" s="791">
        <v>481.78000000000003</v>
      </c>
      <c r="G43" s="894">
        <f t="shared" si="0"/>
        <v>2692.5100000000007</v>
      </c>
      <c r="I43" s="642"/>
      <c r="J43" s="642"/>
      <c r="K43" s="642"/>
    </row>
    <row r="44" spans="1:57" hidden="1">
      <c r="A44" s="196">
        <v>41487</v>
      </c>
      <c r="B44" s="791">
        <v>1163.789</v>
      </c>
      <c r="C44" s="791">
        <v>892.43499999999995</v>
      </c>
      <c r="D44" s="791">
        <v>25.913</v>
      </c>
      <c r="E44" s="791">
        <v>112.422</v>
      </c>
      <c r="F44" s="791">
        <v>478.072</v>
      </c>
      <c r="G44" s="894">
        <f t="shared" si="0"/>
        <v>2672.6310000000003</v>
      </c>
      <c r="I44" s="642"/>
      <c r="J44" s="642"/>
      <c r="K44" s="642"/>
    </row>
    <row r="45" spans="1:57" hidden="1">
      <c r="A45" s="196">
        <v>41518</v>
      </c>
      <c r="B45" s="791">
        <v>1138.6989999999998</v>
      </c>
      <c r="C45" s="791">
        <v>812.39800000000002</v>
      </c>
      <c r="D45" s="791">
        <v>28.652999999999999</v>
      </c>
      <c r="E45" s="791">
        <v>113.86499999999999</v>
      </c>
      <c r="F45" s="791">
        <v>445.94300000000004</v>
      </c>
      <c r="G45" s="894">
        <f t="shared" si="0"/>
        <v>2539.558</v>
      </c>
      <c r="I45" s="642"/>
      <c r="J45" s="642"/>
      <c r="K45" s="642"/>
    </row>
    <row r="46" spans="1:57" hidden="1">
      <c r="A46" s="196">
        <v>41548</v>
      </c>
      <c r="B46" s="791">
        <v>1129.202</v>
      </c>
      <c r="C46" s="791">
        <v>827.78700000000003</v>
      </c>
      <c r="D46" s="791">
        <v>27.988</v>
      </c>
      <c r="E46" s="791">
        <v>112.09399999999999</v>
      </c>
      <c r="F46" s="791">
        <v>476.00999999999993</v>
      </c>
      <c r="G46" s="894">
        <f t="shared" si="0"/>
        <v>2573.0809999999997</v>
      </c>
      <c r="H46" s="111"/>
      <c r="I46" s="642"/>
      <c r="J46" s="642"/>
      <c r="K46" s="642"/>
    </row>
    <row r="47" spans="1:57" hidden="1">
      <c r="A47" s="196">
        <v>41579</v>
      </c>
      <c r="B47" s="791">
        <v>1212.5600000000002</v>
      </c>
      <c r="C47" s="791">
        <v>891.67</v>
      </c>
      <c r="D47" s="791">
        <v>29.600999999999999</v>
      </c>
      <c r="E47" s="791">
        <v>123.77799999999999</v>
      </c>
      <c r="F47" s="791">
        <v>530.43000000000006</v>
      </c>
      <c r="G47" s="894">
        <f t="shared" si="0"/>
        <v>2788.0389999999998</v>
      </c>
      <c r="H47" s="111"/>
      <c r="I47" s="642"/>
      <c r="J47" s="642"/>
      <c r="K47" s="642"/>
    </row>
    <row r="48" spans="1:57" hidden="1">
      <c r="A48" s="196">
        <v>41609</v>
      </c>
      <c r="B48" s="791">
        <v>1250.2540000000001</v>
      </c>
      <c r="C48" s="791">
        <v>935.5630000000001</v>
      </c>
      <c r="D48" s="791">
        <v>30.341999999999999</v>
      </c>
      <c r="E48" s="791">
        <v>116.52800000000001</v>
      </c>
      <c r="F48" s="791">
        <v>632.2639999999999</v>
      </c>
      <c r="G48" s="894">
        <f t="shared" si="0"/>
        <v>2964.951</v>
      </c>
      <c r="H48" s="111"/>
      <c r="I48" s="642"/>
      <c r="J48" s="642"/>
      <c r="K48" s="642"/>
    </row>
    <row r="49" spans="1:11" hidden="1">
      <c r="A49" s="196" t="s">
        <v>375</v>
      </c>
      <c r="B49" s="791">
        <f t="shared" ref="B49:G49" si="1">SUM(B37:B48)</f>
        <v>15495.323999999999</v>
      </c>
      <c r="C49" s="791">
        <f t="shared" si="1"/>
        <v>12065.864</v>
      </c>
      <c r="D49" s="791">
        <f t="shared" si="1"/>
        <v>370.35700000000003</v>
      </c>
      <c r="E49" s="791">
        <f t="shared" si="1"/>
        <v>1388.9080000000001</v>
      </c>
      <c r="F49" s="791">
        <f t="shared" si="1"/>
        <v>7211.4430000000002</v>
      </c>
      <c r="G49" s="894">
        <f t="shared" si="1"/>
        <v>36531.896000000008</v>
      </c>
      <c r="H49" s="111"/>
      <c r="I49" s="642"/>
      <c r="J49" s="642"/>
      <c r="K49" s="642"/>
    </row>
    <row r="50" spans="1:11" hidden="1">
      <c r="A50" s="196">
        <v>41640</v>
      </c>
      <c r="B50" s="791">
        <v>1455.6120000000001</v>
      </c>
      <c r="C50" s="791">
        <v>1182.6869999999999</v>
      </c>
      <c r="D50" s="791">
        <v>31.733000000000004</v>
      </c>
      <c r="E50" s="791">
        <v>110.67699999999999</v>
      </c>
      <c r="F50" s="791">
        <v>688.52</v>
      </c>
      <c r="G50" s="894">
        <f t="shared" si="0"/>
        <v>3469.2290000000003</v>
      </c>
      <c r="H50" s="111"/>
      <c r="I50" s="642"/>
      <c r="J50" s="642"/>
      <c r="K50" s="642"/>
    </row>
    <row r="51" spans="1:11" hidden="1">
      <c r="A51" s="196">
        <v>41671</v>
      </c>
      <c r="B51" s="791">
        <v>1533.1979999999999</v>
      </c>
      <c r="C51" s="791">
        <v>1244.9019999999998</v>
      </c>
      <c r="D51" s="791">
        <v>34.204999999999998</v>
      </c>
      <c r="E51" s="791">
        <v>109.17099999999999</v>
      </c>
      <c r="F51" s="791">
        <v>741.76800000000003</v>
      </c>
      <c r="G51" s="894">
        <f t="shared" si="0"/>
        <v>3663.2439999999992</v>
      </c>
      <c r="H51" s="111"/>
      <c r="I51" s="642"/>
      <c r="J51" s="642"/>
      <c r="K51" s="642"/>
    </row>
    <row r="52" spans="1:11" hidden="1">
      <c r="A52" s="196">
        <v>41699</v>
      </c>
      <c r="B52" s="791">
        <v>1708.0129999999999</v>
      </c>
      <c r="C52" s="791">
        <v>1389.0070000000001</v>
      </c>
      <c r="D52" s="791">
        <v>35.975999999999999</v>
      </c>
      <c r="E52" s="791">
        <v>109.29899999999999</v>
      </c>
      <c r="F52" s="791">
        <v>859.24400000000014</v>
      </c>
      <c r="G52" s="894">
        <f t="shared" ref="G52:G69" si="2">SUM(B52:F52)</f>
        <v>4101.5390000000007</v>
      </c>
      <c r="H52" s="111"/>
      <c r="I52" s="642"/>
      <c r="J52" s="642"/>
      <c r="K52" s="642"/>
    </row>
    <row r="53" spans="1:11" hidden="1">
      <c r="A53" s="196">
        <v>41730</v>
      </c>
      <c r="B53" s="791">
        <v>1653.7649999999999</v>
      </c>
      <c r="C53" s="791">
        <v>1314.2070000000001</v>
      </c>
      <c r="D53" s="791">
        <v>32.991000000000007</v>
      </c>
      <c r="E53" s="791">
        <v>106.71700000000001</v>
      </c>
      <c r="F53" s="791">
        <v>721.78299999999979</v>
      </c>
      <c r="G53" s="894">
        <f t="shared" si="2"/>
        <v>3829.4629999999997</v>
      </c>
      <c r="H53" s="265"/>
      <c r="I53" s="642"/>
      <c r="J53" s="642"/>
      <c r="K53" s="642"/>
    </row>
    <row r="54" spans="1:11" hidden="1">
      <c r="A54" s="196">
        <v>41760</v>
      </c>
      <c r="B54" s="791">
        <v>1663.383</v>
      </c>
      <c r="C54" s="791">
        <v>1367.2359999999999</v>
      </c>
      <c r="D54" s="791">
        <v>35.884999999999998</v>
      </c>
      <c r="E54" s="791">
        <v>120.352</v>
      </c>
      <c r="F54" s="791">
        <v>774.05600000000027</v>
      </c>
      <c r="G54" s="894">
        <f t="shared" si="2"/>
        <v>3960.9120000000003</v>
      </c>
      <c r="H54" s="265"/>
      <c r="I54" s="642"/>
      <c r="J54" s="642"/>
      <c r="K54" s="642"/>
    </row>
    <row r="55" spans="1:11" hidden="1">
      <c r="A55" s="196">
        <v>41791</v>
      </c>
      <c r="B55" s="791">
        <v>1471.77</v>
      </c>
      <c r="C55" s="791">
        <v>1216.297</v>
      </c>
      <c r="D55" s="791">
        <v>31.527000000000001</v>
      </c>
      <c r="E55" s="791">
        <v>119.392</v>
      </c>
      <c r="F55" s="791">
        <v>694.57599999999991</v>
      </c>
      <c r="G55" s="894">
        <f t="shared" si="2"/>
        <v>3533.5619999999999</v>
      </c>
      <c r="H55" s="265"/>
      <c r="I55" s="642"/>
      <c r="J55" s="642"/>
      <c r="K55" s="642"/>
    </row>
    <row r="56" spans="1:11" hidden="1">
      <c r="A56" s="196">
        <v>41821</v>
      </c>
      <c r="B56" s="791">
        <v>1397.104</v>
      </c>
      <c r="C56" s="791">
        <v>1159.299</v>
      </c>
      <c r="D56" s="791">
        <v>31.912000000000003</v>
      </c>
      <c r="E56" s="791">
        <v>143.20599999999999</v>
      </c>
      <c r="F56" s="791">
        <v>719.79800000000012</v>
      </c>
      <c r="G56" s="894">
        <f t="shared" si="2"/>
        <v>3451.3190000000004</v>
      </c>
      <c r="H56" s="265"/>
      <c r="I56" s="642"/>
      <c r="J56" s="642"/>
      <c r="K56" s="642"/>
    </row>
    <row r="57" spans="1:11" hidden="1">
      <c r="A57" s="196">
        <v>41852</v>
      </c>
      <c r="B57" s="791">
        <v>1329.635</v>
      </c>
      <c r="C57" s="791">
        <v>1083.2570000000001</v>
      </c>
      <c r="D57" s="791">
        <v>34.08</v>
      </c>
      <c r="E57" s="791">
        <v>139.54599999999999</v>
      </c>
      <c r="F57" s="791">
        <v>674.40199999999993</v>
      </c>
      <c r="G57" s="894">
        <f t="shared" si="2"/>
        <v>3260.9199999999996</v>
      </c>
      <c r="H57" s="265"/>
      <c r="I57" s="642"/>
      <c r="J57" s="642"/>
      <c r="K57" s="642"/>
    </row>
    <row r="58" spans="1:11" hidden="1">
      <c r="A58" s="196">
        <v>41883</v>
      </c>
      <c r="B58" s="791">
        <v>1239.413</v>
      </c>
      <c r="C58" s="791">
        <v>952.88999999999987</v>
      </c>
      <c r="D58" s="791">
        <v>26.439</v>
      </c>
      <c r="E58" s="791">
        <v>136.17000000000002</v>
      </c>
      <c r="F58" s="791">
        <v>619.298</v>
      </c>
      <c r="G58" s="894">
        <f t="shared" si="2"/>
        <v>2974.21</v>
      </c>
      <c r="H58" s="265"/>
      <c r="I58" s="642"/>
      <c r="J58" s="642"/>
      <c r="K58" s="642"/>
    </row>
    <row r="59" spans="1:11" hidden="1">
      <c r="A59" s="196">
        <v>41913</v>
      </c>
      <c r="B59" s="791">
        <v>1234.2429999999999</v>
      </c>
      <c r="C59" s="791">
        <v>978.12200000000007</v>
      </c>
      <c r="D59" s="791">
        <v>27.259999999999998</v>
      </c>
      <c r="E59" s="791">
        <v>152.553</v>
      </c>
      <c r="F59" s="791">
        <v>660.44399999999996</v>
      </c>
      <c r="G59" s="894">
        <f t="shared" si="2"/>
        <v>3052.6219999999998</v>
      </c>
      <c r="H59" s="265"/>
      <c r="I59" s="642"/>
      <c r="J59" s="642"/>
      <c r="K59" s="642"/>
    </row>
    <row r="60" spans="1:11" hidden="1">
      <c r="A60" s="196">
        <v>41944</v>
      </c>
      <c r="B60" s="791">
        <v>1265.5559999999998</v>
      </c>
      <c r="C60" s="791">
        <v>1020.922</v>
      </c>
      <c r="D60" s="791">
        <v>26.851999999999997</v>
      </c>
      <c r="E60" s="791">
        <v>153.916</v>
      </c>
      <c r="F60" s="791">
        <v>705.23799999999994</v>
      </c>
      <c r="G60" s="894">
        <f t="shared" si="2"/>
        <v>3172.4839999999999</v>
      </c>
      <c r="H60" s="265"/>
      <c r="I60" s="642"/>
      <c r="J60" s="642"/>
      <c r="K60" s="642"/>
    </row>
    <row r="61" spans="1:11" hidden="1">
      <c r="A61" s="196">
        <v>41974</v>
      </c>
      <c r="B61" s="791">
        <v>1428.0910000000001</v>
      </c>
      <c r="C61" s="791">
        <v>1142.2570000000001</v>
      </c>
      <c r="D61" s="791">
        <v>28.379000000000001</v>
      </c>
      <c r="E61" s="791">
        <v>175.721</v>
      </c>
      <c r="F61" s="791">
        <v>845.32200000000023</v>
      </c>
      <c r="G61" s="894">
        <f t="shared" si="2"/>
        <v>3619.77</v>
      </c>
      <c r="H61" s="265"/>
      <c r="I61" s="642"/>
      <c r="J61" s="642"/>
      <c r="K61" s="642"/>
    </row>
    <row r="62" spans="1:11" hidden="1">
      <c r="A62" s="196" t="s">
        <v>661</v>
      </c>
      <c r="B62" s="791">
        <f t="shared" ref="B62:G62" si="3">SUM(B50:B61)</f>
        <v>17379.782999999999</v>
      </c>
      <c r="C62" s="791">
        <f t="shared" si="3"/>
        <v>14051.082999999997</v>
      </c>
      <c r="D62" s="791">
        <f t="shared" si="3"/>
        <v>377.23900000000003</v>
      </c>
      <c r="E62" s="791">
        <f t="shared" si="3"/>
        <v>1576.72</v>
      </c>
      <c r="F62" s="791">
        <f t="shared" si="3"/>
        <v>8704.4490000000005</v>
      </c>
      <c r="G62" s="894">
        <f t="shared" si="3"/>
        <v>42089.27399999999</v>
      </c>
      <c r="H62" s="265"/>
      <c r="I62" s="642"/>
      <c r="J62" s="642"/>
      <c r="K62" s="642"/>
    </row>
    <row r="63" spans="1:11" hidden="1">
      <c r="A63" s="196">
        <v>42005</v>
      </c>
      <c r="B63" s="791">
        <v>1515.644</v>
      </c>
      <c r="C63" s="791">
        <v>1261.886</v>
      </c>
      <c r="D63" s="791">
        <v>30.251999999999995</v>
      </c>
      <c r="E63" s="791">
        <v>250.197</v>
      </c>
      <c r="F63" s="791">
        <v>839.048</v>
      </c>
      <c r="G63" s="894">
        <f t="shared" si="2"/>
        <v>3897.027</v>
      </c>
      <c r="H63" s="265"/>
      <c r="I63" s="642"/>
      <c r="J63" s="642"/>
      <c r="K63" s="642"/>
    </row>
    <row r="64" spans="1:11" hidden="1">
      <c r="A64" s="196">
        <v>42036</v>
      </c>
      <c r="B64" s="791">
        <v>1472.9870000000001</v>
      </c>
      <c r="C64" s="791">
        <v>1214.9759999999999</v>
      </c>
      <c r="D64" s="791">
        <v>27.664999999999999</v>
      </c>
      <c r="E64" s="791">
        <v>260.67699999999996</v>
      </c>
      <c r="F64" s="791">
        <v>836.48200000000008</v>
      </c>
      <c r="G64" s="894">
        <f t="shared" si="2"/>
        <v>3812.7869999999998</v>
      </c>
      <c r="H64" s="265"/>
      <c r="I64" s="642"/>
      <c r="J64" s="642"/>
      <c r="K64" s="642"/>
    </row>
    <row r="65" spans="1:11" hidden="1">
      <c r="A65" s="196">
        <v>42064</v>
      </c>
      <c r="B65" s="791">
        <v>1711.117</v>
      </c>
      <c r="C65" s="791">
        <v>1458.15</v>
      </c>
      <c r="D65" s="791">
        <v>32.61</v>
      </c>
      <c r="E65" s="791">
        <v>252.15200000000002</v>
      </c>
      <c r="F65" s="791">
        <v>1030.4709999999998</v>
      </c>
      <c r="G65" s="894">
        <f t="shared" si="2"/>
        <v>4484.5</v>
      </c>
      <c r="H65" s="265"/>
      <c r="I65" s="642"/>
      <c r="J65" s="642"/>
      <c r="K65" s="642"/>
    </row>
    <row r="66" spans="1:11" hidden="1">
      <c r="A66" s="196">
        <v>42095</v>
      </c>
      <c r="B66" s="791">
        <v>1674.1890000000001</v>
      </c>
      <c r="C66" s="791">
        <v>1468.499</v>
      </c>
      <c r="D66" s="791">
        <v>34.382999999999996</v>
      </c>
      <c r="E66" s="791">
        <v>262.49700000000001</v>
      </c>
      <c r="F66" s="791">
        <v>967.82700000000011</v>
      </c>
      <c r="G66" s="894">
        <f t="shared" si="2"/>
        <v>4407.3949999999995</v>
      </c>
      <c r="H66" s="265"/>
      <c r="I66" s="642"/>
      <c r="J66" s="642"/>
      <c r="K66" s="642"/>
    </row>
    <row r="67" spans="1:11" hidden="1">
      <c r="A67" s="196">
        <v>42125</v>
      </c>
      <c r="B67" s="791">
        <v>1755.8729999999998</v>
      </c>
      <c r="C67" s="791">
        <v>1423.8050000000001</v>
      </c>
      <c r="D67" s="791">
        <v>32.323999999999998</v>
      </c>
      <c r="E67" s="791">
        <v>178.154</v>
      </c>
      <c r="F67" s="791">
        <v>1055.2989999999998</v>
      </c>
      <c r="G67" s="894">
        <f t="shared" si="2"/>
        <v>4445.4549999999999</v>
      </c>
      <c r="H67" s="265"/>
      <c r="I67" s="642"/>
      <c r="J67" s="642"/>
      <c r="K67" s="642"/>
    </row>
    <row r="68" spans="1:11" hidden="1">
      <c r="A68" s="196">
        <v>42156</v>
      </c>
      <c r="B68" s="791">
        <v>1633.6789999999999</v>
      </c>
      <c r="C68" s="791">
        <v>1297.509</v>
      </c>
      <c r="D68" s="791">
        <v>30.385000000000002</v>
      </c>
      <c r="E68" s="791">
        <v>178.94300000000001</v>
      </c>
      <c r="F68" s="791">
        <v>1009.3660000000002</v>
      </c>
      <c r="G68" s="894">
        <f t="shared" si="2"/>
        <v>4149.8820000000005</v>
      </c>
      <c r="H68" s="265"/>
      <c r="I68" s="642"/>
      <c r="J68" s="642"/>
      <c r="K68" s="642"/>
    </row>
    <row r="69" spans="1:11" hidden="1">
      <c r="A69" s="196">
        <v>42186</v>
      </c>
      <c r="B69" s="791">
        <v>1552.4459999999999</v>
      </c>
      <c r="C69" s="791">
        <v>1422.596</v>
      </c>
      <c r="D69" s="791">
        <v>30.216000000000001</v>
      </c>
      <c r="E69" s="791">
        <v>181.73200000000003</v>
      </c>
      <c r="F69" s="791">
        <v>991.08100000000002</v>
      </c>
      <c r="G69" s="894">
        <f t="shared" si="2"/>
        <v>4178.0709999999999</v>
      </c>
      <c r="H69" s="265"/>
      <c r="I69" s="642"/>
      <c r="J69" s="642"/>
      <c r="K69" s="642"/>
    </row>
    <row r="70" spans="1:11" hidden="1">
      <c r="A70" s="196">
        <v>42217</v>
      </c>
      <c r="B70" s="791">
        <v>1399.4759999999999</v>
      </c>
      <c r="C70" s="791">
        <v>1268.0730000000001</v>
      </c>
      <c r="D70" s="791">
        <v>30.829000000000001</v>
      </c>
      <c r="E70" s="791">
        <v>172.441</v>
      </c>
      <c r="F70" s="791">
        <v>870.81399999999996</v>
      </c>
      <c r="G70" s="894">
        <f t="shared" ref="G70:G83" si="4">SUM(B70:F70)</f>
        <v>3741.6329999999998</v>
      </c>
      <c r="H70" s="265"/>
      <c r="I70" s="642"/>
      <c r="J70" s="642"/>
      <c r="K70" s="642"/>
    </row>
    <row r="71" spans="1:11" hidden="1">
      <c r="A71" s="196">
        <v>42248</v>
      </c>
      <c r="B71" s="791">
        <v>1337.1229999999998</v>
      </c>
      <c r="C71" s="791">
        <v>1159.817</v>
      </c>
      <c r="D71" s="791">
        <v>29.630999999999997</v>
      </c>
      <c r="E71" s="791">
        <v>166.142</v>
      </c>
      <c r="F71" s="791">
        <v>864.95699999999999</v>
      </c>
      <c r="G71" s="894">
        <f t="shared" si="4"/>
        <v>3557.6699999999992</v>
      </c>
      <c r="H71" s="265"/>
      <c r="I71" s="642"/>
      <c r="J71" s="642"/>
      <c r="K71" s="642"/>
    </row>
    <row r="72" spans="1:11" hidden="1">
      <c r="A72" s="196">
        <v>42278</v>
      </c>
      <c r="B72" s="791">
        <v>1385.6210000000001</v>
      </c>
      <c r="C72" s="791">
        <v>1194.3910000000001</v>
      </c>
      <c r="D72" s="791">
        <v>28.986999999999998</v>
      </c>
      <c r="E72" s="791">
        <v>158.49300000000002</v>
      </c>
      <c r="F72" s="791">
        <v>854.13199999999995</v>
      </c>
      <c r="G72" s="894">
        <f t="shared" si="4"/>
        <v>3621.6240000000003</v>
      </c>
      <c r="H72" s="265"/>
      <c r="I72" s="642"/>
      <c r="J72" s="642"/>
      <c r="K72" s="642"/>
    </row>
    <row r="73" spans="1:11" hidden="1">
      <c r="A73" s="196">
        <v>42309</v>
      </c>
      <c r="B73" s="791">
        <v>1351.2560000000001</v>
      </c>
      <c r="C73" s="791">
        <v>1123.9860000000001</v>
      </c>
      <c r="D73" s="791">
        <v>26.93</v>
      </c>
      <c r="E73" s="791">
        <v>157.46799999999999</v>
      </c>
      <c r="F73" s="791">
        <v>820.26299999999992</v>
      </c>
      <c r="G73" s="894">
        <f>SUM(B73:F73)</f>
        <v>3479.9029999999998</v>
      </c>
      <c r="H73" s="265"/>
      <c r="I73" s="642"/>
      <c r="J73" s="642"/>
      <c r="K73" s="642"/>
    </row>
    <row r="74" spans="1:11" hidden="1">
      <c r="A74" s="196">
        <v>42339</v>
      </c>
      <c r="B74" s="791">
        <v>1599.3019999999999</v>
      </c>
      <c r="C74" s="791">
        <v>1393.6129999999998</v>
      </c>
      <c r="D74" s="791">
        <v>32.050000000000004</v>
      </c>
      <c r="E74" s="791">
        <v>169.06800000000001</v>
      </c>
      <c r="F74" s="791">
        <v>1006.6130000000002</v>
      </c>
      <c r="G74" s="894">
        <f t="shared" si="4"/>
        <v>4200.6460000000006</v>
      </c>
      <c r="H74" s="265"/>
      <c r="I74" s="642"/>
      <c r="J74" s="642"/>
      <c r="K74" s="642"/>
    </row>
    <row r="75" spans="1:11" hidden="1">
      <c r="A75" s="196" t="s">
        <v>662</v>
      </c>
      <c r="B75" s="791">
        <f t="shared" ref="B75:G75" si="5">SUM(B63:B74)</f>
        <v>18388.713</v>
      </c>
      <c r="C75" s="791">
        <f t="shared" si="5"/>
        <v>15687.301000000001</v>
      </c>
      <c r="D75" s="791">
        <f t="shared" si="5"/>
        <v>366.262</v>
      </c>
      <c r="E75" s="791">
        <f t="shared" si="5"/>
        <v>2387.9639999999999</v>
      </c>
      <c r="F75" s="791">
        <f t="shared" si="5"/>
        <v>11146.353000000001</v>
      </c>
      <c r="G75" s="894">
        <f t="shared" si="5"/>
        <v>47976.593000000001</v>
      </c>
      <c r="H75" s="265"/>
      <c r="I75" s="642"/>
      <c r="J75" s="642"/>
      <c r="K75" s="642"/>
    </row>
    <row r="76" spans="1:11" hidden="1">
      <c r="A76" s="196">
        <v>42370</v>
      </c>
      <c r="B76" s="791">
        <v>1639.0450000000001</v>
      </c>
      <c r="C76" s="791">
        <v>1450.8150000000001</v>
      </c>
      <c r="D76" s="791">
        <v>27.105</v>
      </c>
      <c r="E76" s="791">
        <v>169.79900000000001</v>
      </c>
      <c r="F76" s="791">
        <v>912.17000000000007</v>
      </c>
      <c r="G76" s="894">
        <f t="shared" si="4"/>
        <v>4198.9340000000002</v>
      </c>
      <c r="H76" s="265"/>
      <c r="I76" s="642"/>
      <c r="J76" s="642"/>
      <c r="K76" s="642"/>
    </row>
    <row r="77" spans="1:11" hidden="1">
      <c r="A77" s="196">
        <v>42401</v>
      </c>
      <c r="B77" s="791">
        <v>1750.2980000000002</v>
      </c>
      <c r="C77" s="791">
        <v>1578.444</v>
      </c>
      <c r="D77" s="791">
        <v>32.760000000000005</v>
      </c>
      <c r="E77" s="791">
        <v>175.12899999999999</v>
      </c>
      <c r="F77" s="791">
        <v>969.54299999999989</v>
      </c>
      <c r="G77" s="894">
        <f t="shared" si="4"/>
        <v>4506.174</v>
      </c>
      <c r="H77" s="265"/>
      <c r="I77" s="642"/>
      <c r="J77" s="642"/>
      <c r="K77" s="642"/>
    </row>
    <row r="78" spans="1:11" hidden="1">
      <c r="A78" s="196">
        <v>42430</v>
      </c>
      <c r="B78" s="791">
        <v>1811.5530000000001</v>
      </c>
      <c r="C78" s="791">
        <v>1654.3530000000001</v>
      </c>
      <c r="D78" s="791">
        <v>34.736000000000004</v>
      </c>
      <c r="E78" s="791">
        <v>162.25300000000001</v>
      </c>
      <c r="F78" s="791">
        <v>1020.1229999999999</v>
      </c>
      <c r="G78" s="894">
        <f t="shared" si="4"/>
        <v>4683.018</v>
      </c>
      <c r="H78" s="265"/>
      <c r="I78" s="642"/>
      <c r="J78" s="642"/>
      <c r="K78" s="642"/>
    </row>
    <row r="79" spans="1:11" hidden="1">
      <c r="A79" s="196">
        <v>42461</v>
      </c>
      <c r="B79" s="791">
        <v>1815.5940000000001</v>
      </c>
      <c r="C79" s="791">
        <v>1700.7249999999999</v>
      </c>
      <c r="D79" s="791">
        <v>33.231999999999999</v>
      </c>
      <c r="E79" s="791">
        <v>156.90200000000002</v>
      </c>
      <c r="F79" s="791">
        <v>1041.4269999999997</v>
      </c>
      <c r="G79" s="894">
        <f t="shared" si="4"/>
        <v>4747.8799999999992</v>
      </c>
      <c r="H79" s="265"/>
      <c r="I79" s="642"/>
      <c r="J79" s="642"/>
      <c r="K79" s="642"/>
    </row>
    <row r="80" spans="1:11" hidden="1">
      <c r="A80" s="196">
        <v>42491</v>
      </c>
      <c r="B80" s="791">
        <v>1591.5709999999999</v>
      </c>
      <c r="C80" s="791">
        <v>1417.0189999999998</v>
      </c>
      <c r="D80" s="791">
        <v>33.278999999999996</v>
      </c>
      <c r="E80" s="791">
        <v>152.452</v>
      </c>
      <c r="F80" s="791">
        <v>916.32699999999988</v>
      </c>
      <c r="G80" s="894">
        <f t="shared" si="4"/>
        <v>4110.6480000000001</v>
      </c>
      <c r="H80" s="265"/>
      <c r="I80" s="642"/>
      <c r="J80" s="642"/>
      <c r="K80" s="642"/>
    </row>
    <row r="81" spans="1:11" hidden="1">
      <c r="A81" s="196">
        <v>42522</v>
      </c>
      <c r="B81" s="791">
        <v>1488.1560000000002</v>
      </c>
      <c r="C81" s="791">
        <v>1362.789</v>
      </c>
      <c r="D81" s="791">
        <v>34.445</v>
      </c>
      <c r="E81" s="791">
        <v>178.62299999999999</v>
      </c>
      <c r="F81" s="791">
        <v>861.596</v>
      </c>
      <c r="G81" s="894">
        <f t="shared" si="4"/>
        <v>3925.6090000000004</v>
      </c>
      <c r="H81" s="265"/>
      <c r="I81" s="642"/>
      <c r="J81" s="642"/>
      <c r="K81" s="642"/>
    </row>
    <row r="82" spans="1:11" hidden="1">
      <c r="A82" s="196">
        <v>42552</v>
      </c>
      <c r="B82" s="791">
        <v>1346.0709999999999</v>
      </c>
      <c r="C82" s="791">
        <v>1256.5049999999999</v>
      </c>
      <c r="D82" s="791">
        <v>31.245000000000001</v>
      </c>
      <c r="E82" s="791">
        <v>164.452</v>
      </c>
      <c r="F82" s="791">
        <v>836.36299999999983</v>
      </c>
      <c r="G82" s="894">
        <f t="shared" si="4"/>
        <v>3634.636</v>
      </c>
      <c r="H82" s="265"/>
      <c r="I82" s="642"/>
      <c r="J82" s="642"/>
      <c r="K82" s="642"/>
    </row>
    <row r="83" spans="1:11" hidden="1">
      <c r="A83" s="196">
        <v>42583</v>
      </c>
      <c r="B83" s="791">
        <v>1313.72</v>
      </c>
      <c r="C83" s="791">
        <v>1224.07</v>
      </c>
      <c r="D83" s="791">
        <v>33.92</v>
      </c>
      <c r="E83" s="791">
        <v>162.71</v>
      </c>
      <c r="F83" s="791">
        <v>746</v>
      </c>
      <c r="G83" s="894">
        <f t="shared" si="4"/>
        <v>3480.42</v>
      </c>
      <c r="H83" s="265"/>
      <c r="I83" s="642"/>
      <c r="J83" s="642"/>
      <c r="K83" s="642"/>
    </row>
    <row r="84" spans="1:11" hidden="1">
      <c r="A84" s="196">
        <v>42614</v>
      </c>
      <c r="B84" s="791">
        <v>1291.71</v>
      </c>
      <c r="C84" s="791">
        <v>1139.8900000000001</v>
      </c>
      <c r="D84" s="791">
        <v>33.44</v>
      </c>
      <c r="E84" s="791">
        <v>165.7</v>
      </c>
      <c r="F84" s="791">
        <v>691.89</v>
      </c>
      <c r="G84" s="894">
        <f t="shared" ref="G84:G90" si="6">SUM(B84:F84)</f>
        <v>3322.63</v>
      </c>
      <c r="H84" s="265"/>
      <c r="I84" s="642"/>
      <c r="J84" s="642"/>
      <c r="K84" s="642"/>
    </row>
    <row r="85" spans="1:11" hidden="1">
      <c r="A85" s="196">
        <v>42644</v>
      </c>
      <c r="B85" s="791">
        <v>1313.12</v>
      </c>
      <c r="C85" s="791">
        <v>1124.57</v>
      </c>
      <c r="D85" s="791">
        <v>35.68</v>
      </c>
      <c r="E85" s="791">
        <v>162.63999999999999</v>
      </c>
      <c r="F85" s="791">
        <v>727.25</v>
      </c>
      <c r="G85" s="894">
        <f t="shared" si="6"/>
        <v>3363.2599999999993</v>
      </c>
      <c r="H85" s="265"/>
      <c r="I85" s="642"/>
      <c r="J85" s="642"/>
      <c r="K85" s="642"/>
    </row>
    <row r="86" spans="1:11" hidden="1">
      <c r="A86" s="196">
        <v>42675</v>
      </c>
      <c r="B86" s="791">
        <v>1298.78</v>
      </c>
      <c r="C86" s="791">
        <v>1141.3</v>
      </c>
      <c r="D86" s="791">
        <v>33.86</v>
      </c>
      <c r="E86" s="791">
        <v>164.5</v>
      </c>
      <c r="F86" s="791">
        <v>713.59</v>
      </c>
      <c r="G86" s="894">
        <f t="shared" si="6"/>
        <v>3352.03</v>
      </c>
      <c r="H86" s="265"/>
      <c r="I86" s="642"/>
      <c r="J86" s="642"/>
      <c r="K86" s="642"/>
    </row>
    <row r="87" spans="1:11" hidden="1">
      <c r="A87" s="196">
        <v>42705</v>
      </c>
      <c r="B87" s="791">
        <v>1398.6719999999998</v>
      </c>
      <c r="C87" s="791">
        <v>1274.806</v>
      </c>
      <c r="D87" s="791">
        <v>36.278999999999996</v>
      </c>
      <c r="E87" s="791">
        <v>169.38900000000001</v>
      </c>
      <c r="F87" s="791">
        <v>803.601</v>
      </c>
      <c r="G87" s="894">
        <f t="shared" si="6"/>
        <v>3682.7470000000003</v>
      </c>
      <c r="H87" s="265"/>
      <c r="I87" s="642"/>
      <c r="J87" s="642"/>
      <c r="K87" s="642"/>
    </row>
    <row r="88" spans="1:11" ht="13.5" hidden="1" thickBot="1">
      <c r="A88" s="197" t="s">
        <v>663</v>
      </c>
      <c r="B88" s="791">
        <f t="shared" ref="B88:G88" si="7">SUM(B76:B87)</f>
        <v>18058.289999999997</v>
      </c>
      <c r="C88" s="791">
        <f t="shared" si="7"/>
        <v>16325.285999999998</v>
      </c>
      <c r="D88" s="791">
        <f t="shared" si="7"/>
        <v>399.98100000000005</v>
      </c>
      <c r="E88" s="791">
        <f t="shared" si="7"/>
        <v>1984.5490000000004</v>
      </c>
      <c r="F88" s="791">
        <f t="shared" si="7"/>
        <v>10239.879999999999</v>
      </c>
      <c r="G88" s="894">
        <f t="shared" si="7"/>
        <v>47007.986000000004</v>
      </c>
      <c r="H88" s="265"/>
      <c r="I88" s="642"/>
      <c r="J88" s="642"/>
      <c r="K88" s="642"/>
    </row>
    <row r="89" spans="1:11" hidden="1">
      <c r="A89" s="1168">
        <v>42736</v>
      </c>
      <c r="B89" s="1172">
        <v>1662.05</v>
      </c>
      <c r="C89" s="1172">
        <v>1549.124</v>
      </c>
      <c r="D89" s="1172">
        <v>37.542000000000002</v>
      </c>
      <c r="E89" s="1218">
        <v>157.73499999999999</v>
      </c>
      <c r="F89" s="1177">
        <v>1002.2089999999997</v>
      </c>
      <c r="G89" s="1176">
        <f t="shared" si="6"/>
        <v>4408.66</v>
      </c>
      <c r="H89" s="265"/>
      <c r="I89" s="642"/>
      <c r="J89" s="642"/>
      <c r="K89" s="642"/>
    </row>
    <row r="90" spans="1:11" hidden="1">
      <c r="A90" s="1169">
        <v>42767</v>
      </c>
      <c r="B90" s="1173">
        <v>1874.5330000000001</v>
      </c>
      <c r="C90" s="1173">
        <v>1688.4010000000001</v>
      </c>
      <c r="D90" s="1173">
        <v>38.498999999999995</v>
      </c>
      <c r="E90" s="1219">
        <v>228.86</v>
      </c>
      <c r="F90" s="942">
        <v>1162.9980000000005</v>
      </c>
      <c r="G90" s="946">
        <f t="shared" si="6"/>
        <v>4993.2910000000011</v>
      </c>
      <c r="H90" s="265"/>
      <c r="I90" s="642"/>
      <c r="J90" s="642"/>
      <c r="K90" s="642"/>
    </row>
    <row r="91" spans="1:11" hidden="1">
      <c r="A91" s="1169">
        <v>42795</v>
      </c>
      <c r="B91" s="942">
        <v>1825.607</v>
      </c>
      <c r="C91" s="942">
        <v>1664.5710000000001</v>
      </c>
      <c r="D91" s="942">
        <v>35.213000000000001</v>
      </c>
      <c r="E91" s="1220">
        <v>162.23499999999999</v>
      </c>
      <c r="F91" s="942">
        <v>998.69800000000009</v>
      </c>
      <c r="G91" s="946">
        <f>SUM(B91:F91)</f>
        <v>4686.3240000000005</v>
      </c>
      <c r="H91" s="265"/>
      <c r="I91" s="642"/>
      <c r="J91" s="642"/>
      <c r="K91" s="642"/>
    </row>
    <row r="92" spans="1:11" hidden="1">
      <c r="A92" s="1169">
        <v>42826</v>
      </c>
      <c r="B92" s="942">
        <v>2065.3420000000001</v>
      </c>
      <c r="C92" s="942">
        <v>1892.625</v>
      </c>
      <c r="D92" s="942">
        <v>41.523000000000003</v>
      </c>
      <c r="E92" s="1220">
        <v>215.55100000000002</v>
      </c>
      <c r="F92" s="942">
        <v>1172.3740000000005</v>
      </c>
      <c r="G92" s="946">
        <f>SUM(B92:F92)</f>
        <v>5387.4150000000009</v>
      </c>
      <c r="H92" s="265"/>
      <c r="I92" s="642"/>
      <c r="J92" s="642"/>
      <c r="K92" s="642"/>
    </row>
    <row r="93" spans="1:11" hidden="1">
      <c r="A93" s="1169">
        <v>42856</v>
      </c>
      <c r="B93" s="942">
        <v>1811.9700000000003</v>
      </c>
      <c r="C93" s="942">
        <v>1649.748</v>
      </c>
      <c r="D93" s="942">
        <v>36.163000000000004</v>
      </c>
      <c r="E93" s="1220">
        <v>167.73599999999999</v>
      </c>
      <c r="F93" s="942">
        <v>999.87799999999993</v>
      </c>
      <c r="G93" s="946">
        <f t="shared" ref="G93:G105" si="8">SUM(B93:F93)</f>
        <v>4665.4949999999999</v>
      </c>
      <c r="H93" s="265"/>
      <c r="I93" s="642"/>
      <c r="J93" s="642"/>
      <c r="K93" s="642"/>
    </row>
    <row r="94" spans="1:11" hidden="1">
      <c r="A94" s="1169">
        <v>42887</v>
      </c>
      <c r="B94" s="942">
        <v>1578.7269999999999</v>
      </c>
      <c r="C94" s="942">
        <v>1483.7080000000001</v>
      </c>
      <c r="D94" s="942">
        <v>41.515000000000001</v>
      </c>
      <c r="E94" s="1220">
        <v>151.26900000000001</v>
      </c>
      <c r="F94" s="942">
        <v>939.25500000000011</v>
      </c>
      <c r="G94" s="946">
        <f t="shared" si="8"/>
        <v>4194.4740000000002</v>
      </c>
      <c r="H94" s="265"/>
      <c r="I94" s="29"/>
      <c r="J94" s="642"/>
      <c r="K94" s="642"/>
    </row>
    <row r="95" spans="1:11" hidden="1">
      <c r="A95" s="1169">
        <v>42917</v>
      </c>
      <c r="B95" s="1174">
        <v>1420.953</v>
      </c>
      <c r="C95" s="942">
        <v>1334.402</v>
      </c>
      <c r="D95" s="1175">
        <v>41.968000000000004</v>
      </c>
      <c r="E95" s="942">
        <v>148.036</v>
      </c>
      <c r="F95" s="1220">
        <v>849.3570000000002</v>
      </c>
      <c r="G95" s="946">
        <f t="shared" si="8"/>
        <v>3794.7160000000003</v>
      </c>
      <c r="H95" s="265"/>
      <c r="I95" s="29"/>
      <c r="J95" s="642"/>
      <c r="K95" s="642"/>
    </row>
    <row r="96" spans="1:11" hidden="1">
      <c r="A96" s="1169">
        <v>42948</v>
      </c>
      <c r="B96" s="1174">
        <v>1357.2520000000002</v>
      </c>
      <c r="C96" s="942">
        <v>1250.374</v>
      </c>
      <c r="D96" s="1175">
        <v>40.731000000000002</v>
      </c>
      <c r="E96" s="942">
        <v>144.58199999999999</v>
      </c>
      <c r="F96" s="1220">
        <v>814.25800000000015</v>
      </c>
      <c r="G96" s="946">
        <f t="shared" si="8"/>
        <v>3607.1970000000006</v>
      </c>
      <c r="H96" s="265"/>
      <c r="I96" s="29"/>
      <c r="J96" s="642"/>
      <c r="K96" s="642"/>
    </row>
    <row r="97" spans="1:15" hidden="1">
      <c r="A97" s="1169">
        <v>42979</v>
      </c>
      <c r="B97" s="1217">
        <v>1343.4650000000001</v>
      </c>
      <c r="C97" s="1221">
        <v>1158.4349999999999</v>
      </c>
      <c r="D97" s="1221">
        <v>37.655000000000001</v>
      </c>
      <c r="E97" s="1221">
        <v>150.744</v>
      </c>
      <c r="F97" s="1222">
        <v>766.73799999999983</v>
      </c>
      <c r="G97" s="946">
        <f t="shared" si="8"/>
        <v>3457.0370000000003</v>
      </c>
      <c r="H97" s="265"/>
      <c r="I97" s="29"/>
      <c r="J97" s="642"/>
      <c r="K97" s="642"/>
    </row>
    <row r="98" spans="1:15">
      <c r="A98" s="1169">
        <v>43009</v>
      </c>
      <c r="B98" s="1174">
        <v>1348.04</v>
      </c>
      <c r="C98" s="942">
        <v>1172.9780000000001</v>
      </c>
      <c r="D98" s="1175">
        <v>33.322000000000003</v>
      </c>
      <c r="E98" s="942">
        <v>145.62200000000001</v>
      </c>
      <c r="F98" s="1220">
        <v>745.35199999999986</v>
      </c>
      <c r="G98" s="946">
        <f t="shared" si="8"/>
        <v>3445.3139999999999</v>
      </c>
      <c r="H98" s="265"/>
      <c r="I98" s="29"/>
      <c r="J98" s="642"/>
      <c r="K98" s="111"/>
      <c r="L98" s="111"/>
      <c r="M98" s="111"/>
      <c r="N98" s="111"/>
      <c r="O98" s="111"/>
    </row>
    <row r="99" spans="1:15">
      <c r="A99" s="1169">
        <v>43040</v>
      </c>
      <c r="B99" s="1174">
        <v>1418.9110000000001</v>
      </c>
      <c r="C99" s="942">
        <v>1312.134</v>
      </c>
      <c r="D99" s="1175">
        <v>35.759</v>
      </c>
      <c r="E99" s="942">
        <v>154.59</v>
      </c>
      <c r="F99" s="1220">
        <v>733.8570000000002</v>
      </c>
      <c r="G99" s="946">
        <f t="shared" si="8"/>
        <v>3655.2510000000002</v>
      </c>
      <c r="H99" s="265"/>
      <c r="I99" s="29"/>
      <c r="J99" s="642"/>
      <c r="K99" s="111"/>
      <c r="L99" s="111"/>
      <c r="M99" s="111"/>
      <c r="N99" s="111"/>
      <c r="O99" s="111"/>
    </row>
    <row r="100" spans="1:15">
      <c r="A100" s="1169">
        <v>43070</v>
      </c>
      <c r="B100" s="1174">
        <v>1358.095</v>
      </c>
      <c r="C100" s="942">
        <v>1258.1089999999999</v>
      </c>
      <c r="D100" s="1175">
        <v>34.092000000000006</v>
      </c>
      <c r="E100" s="942">
        <v>154.12800000000001</v>
      </c>
      <c r="F100" s="1220">
        <v>608.60099999999989</v>
      </c>
      <c r="G100" s="946">
        <f t="shared" si="8"/>
        <v>3413.0249999999996</v>
      </c>
      <c r="H100" s="265"/>
      <c r="I100" s="29"/>
      <c r="J100" s="642"/>
      <c r="K100" s="111"/>
      <c r="L100" s="111"/>
      <c r="M100" s="111"/>
      <c r="N100" s="111"/>
      <c r="O100" s="111"/>
    </row>
    <row r="101" spans="1:15" s="1257" customFormat="1">
      <c r="A101" s="1169">
        <v>43101</v>
      </c>
      <c r="B101" s="1174">
        <v>1626.53</v>
      </c>
      <c r="C101" s="942">
        <v>1609.1679999999999</v>
      </c>
      <c r="D101" s="1175">
        <v>36.231000000000009</v>
      </c>
      <c r="E101" s="942">
        <v>145.923</v>
      </c>
      <c r="F101" s="1220">
        <v>786.70299999999975</v>
      </c>
      <c r="G101" s="946">
        <f t="shared" si="8"/>
        <v>4204.5549999999994</v>
      </c>
      <c r="H101" s="265"/>
      <c r="I101" s="29"/>
      <c r="J101" s="642"/>
      <c r="K101" s="111"/>
      <c r="L101" s="111"/>
      <c r="M101" s="111"/>
      <c r="N101" s="111"/>
      <c r="O101" s="111"/>
    </row>
    <row r="102" spans="1:15" s="1257" customFormat="1">
      <c r="A102" s="1169">
        <v>43132</v>
      </c>
      <c r="B102" s="1174">
        <v>1957.2510000000002</v>
      </c>
      <c r="C102" s="942">
        <v>1904.3939999999998</v>
      </c>
      <c r="D102" s="1175">
        <v>38.276000000000003</v>
      </c>
      <c r="E102" s="942">
        <v>162.102</v>
      </c>
      <c r="F102" s="1220">
        <v>887.80999999999983</v>
      </c>
      <c r="G102" s="946">
        <f t="shared" si="8"/>
        <v>4949.8329999999996</v>
      </c>
      <c r="H102" s="265"/>
      <c r="I102" s="29"/>
      <c r="J102" s="642"/>
      <c r="K102" s="111"/>
      <c r="L102" s="111"/>
      <c r="M102" s="111"/>
      <c r="N102" s="111"/>
      <c r="O102" s="111"/>
    </row>
    <row r="103" spans="1:15" s="1257" customFormat="1">
      <c r="A103" s="1169">
        <v>43160</v>
      </c>
      <c r="B103" s="1174">
        <v>1803.7949999999998</v>
      </c>
      <c r="C103" s="942">
        <v>1816.278</v>
      </c>
      <c r="D103" s="1175">
        <v>36.855999999999995</v>
      </c>
      <c r="E103" s="942">
        <v>155.358</v>
      </c>
      <c r="F103" s="1220">
        <v>950.12400000000014</v>
      </c>
      <c r="G103" s="946">
        <f t="shared" si="8"/>
        <v>4762.4110000000001</v>
      </c>
      <c r="H103" s="265"/>
      <c r="I103" s="29"/>
      <c r="J103" s="642"/>
      <c r="K103" s="111"/>
      <c r="L103" s="111"/>
      <c r="M103" s="111"/>
      <c r="N103" s="111"/>
      <c r="O103" s="111"/>
    </row>
    <row r="104" spans="1:15" s="1257" customFormat="1">
      <c r="A104" s="1169">
        <v>43191</v>
      </c>
      <c r="B104" s="1174">
        <v>1883.5219999999999</v>
      </c>
      <c r="C104" s="942">
        <v>1930.249</v>
      </c>
      <c r="D104" s="1175">
        <v>43.394000000000005</v>
      </c>
      <c r="E104" s="942">
        <v>161.934</v>
      </c>
      <c r="F104" s="1220">
        <v>922.32199999999978</v>
      </c>
      <c r="G104" s="946">
        <f t="shared" si="8"/>
        <v>4941.4210000000003</v>
      </c>
      <c r="H104" s="265"/>
      <c r="I104" s="29"/>
      <c r="J104" s="642"/>
      <c r="K104" s="111"/>
      <c r="L104" s="111"/>
      <c r="M104" s="111"/>
      <c r="N104" s="111"/>
      <c r="O104" s="111"/>
    </row>
    <row r="105" spans="1:15" s="1820" customFormat="1">
      <c r="A105" s="1169">
        <v>43221</v>
      </c>
      <c r="B105" s="1174">
        <v>1996.931</v>
      </c>
      <c r="C105" s="942">
        <v>1971.0269999999998</v>
      </c>
      <c r="D105" s="1175">
        <v>41.949000000000005</v>
      </c>
      <c r="E105" s="942">
        <v>158.31699999999998</v>
      </c>
      <c r="F105" s="1220">
        <v>922.50499999999977</v>
      </c>
      <c r="G105" s="946">
        <f t="shared" si="8"/>
        <v>5090.7289999999994</v>
      </c>
      <c r="H105" s="265"/>
      <c r="I105" s="29"/>
      <c r="J105" s="642"/>
      <c r="K105" s="111"/>
      <c r="L105" s="111"/>
      <c r="M105" s="111"/>
      <c r="N105" s="111"/>
      <c r="O105" s="111"/>
    </row>
    <row r="106" spans="1:15" s="2638" customFormat="1">
      <c r="A106" s="1169">
        <v>43252</v>
      </c>
      <c r="B106" s="1174">
        <v>1606.4649999999999</v>
      </c>
      <c r="C106" s="942">
        <v>1646.4390000000001</v>
      </c>
      <c r="D106" s="1175">
        <v>38.097999999999999</v>
      </c>
      <c r="E106" s="942">
        <v>157.65</v>
      </c>
      <c r="F106" s="1220">
        <v>690.43499999999995</v>
      </c>
      <c r="G106" s="946">
        <v>4139.0870000000004</v>
      </c>
      <c r="H106" s="265"/>
      <c r="I106" s="2647"/>
      <c r="J106" s="642"/>
      <c r="K106" s="111"/>
      <c r="L106" s="111"/>
      <c r="M106" s="111"/>
      <c r="N106" s="111"/>
      <c r="O106" s="111"/>
    </row>
    <row r="107" spans="1:15" s="1820" customFormat="1">
      <c r="A107" s="1169">
        <v>43282</v>
      </c>
      <c r="B107" s="1174">
        <v>1490.5239999999999</v>
      </c>
      <c r="C107" s="942">
        <v>1541.0830000000001</v>
      </c>
      <c r="D107" s="1175">
        <v>34.959000000000003</v>
      </c>
      <c r="E107" s="942">
        <v>156.92500000000001</v>
      </c>
      <c r="F107" s="1220">
        <v>556.76400000000001</v>
      </c>
      <c r="G107" s="946">
        <f>+SUM(B107:F107)</f>
        <v>3780.2550000000001</v>
      </c>
      <c r="H107" s="265"/>
      <c r="I107" s="29"/>
      <c r="J107" s="642"/>
      <c r="K107" s="111"/>
      <c r="L107" s="111"/>
      <c r="M107" s="111"/>
      <c r="N107" s="111"/>
      <c r="O107" s="111"/>
    </row>
    <row r="108" spans="1:15" s="2638" customFormat="1">
      <c r="A108" s="1169">
        <v>43313</v>
      </c>
      <c r="B108" s="1174">
        <v>1537.7949999999998</v>
      </c>
      <c r="C108" s="942">
        <v>1593.5</v>
      </c>
      <c r="D108" s="1175">
        <v>36.722000000000008</v>
      </c>
      <c r="E108" s="942">
        <v>152.33199999999999</v>
      </c>
      <c r="F108" s="1220">
        <v>572.02300000000002</v>
      </c>
      <c r="G108" s="946">
        <v>3892.3720000000003</v>
      </c>
      <c r="H108" s="265"/>
      <c r="I108" s="2647"/>
      <c r="J108" s="642"/>
      <c r="K108" s="111"/>
      <c r="L108" s="111"/>
      <c r="M108" s="111"/>
      <c r="N108" s="111"/>
      <c r="O108" s="111"/>
    </row>
    <row r="109" spans="1:15" s="2638" customFormat="1" ht="13.5" thickBot="1">
      <c r="A109" s="1169">
        <v>43344</v>
      </c>
      <c r="B109" s="1174">
        <v>1465.84</v>
      </c>
      <c r="C109" s="942">
        <v>1460.14</v>
      </c>
      <c r="D109" s="1175">
        <v>37.22</v>
      </c>
      <c r="E109" s="942">
        <v>157</v>
      </c>
      <c r="F109" s="1220">
        <v>567.11</v>
      </c>
      <c r="G109" s="946">
        <v>3687.31</v>
      </c>
      <c r="H109" s="265"/>
      <c r="I109" s="2647"/>
      <c r="J109" s="642"/>
      <c r="K109" s="111"/>
      <c r="L109" s="111"/>
      <c r="M109" s="111"/>
      <c r="N109" s="111"/>
      <c r="O109" s="111"/>
    </row>
    <row r="110" spans="1:15" ht="13.5" thickBot="1">
      <c r="A110" s="1237" t="s">
        <v>165</v>
      </c>
      <c r="B110" s="1239">
        <f>(B109/B107)-1</f>
        <v>-1.6560618950114181E-2</v>
      </c>
      <c r="C110" s="1239">
        <f t="shared" ref="C110:G110" si="9">(C109/C107)-1</f>
        <v>-5.2523452662835202E-2</v>
      </c>
      <c r="D110" s="1239">
        <f t="shared" si="9"/>
        <v>6.4675763036700085E-2</v>
      </c>
      <c r="E110" s="1239">
        <f t="shared" si="9"/>
        <v>4.7793531941997536E-4</v>
      </c>
      <c r="F110" s="1239">
        <f t="shared" si="9"/>
        <v>1.8582379607877009E-2</v>
      </c>
      <c r="G110" s="1239">
        <f t="shared" si="9"/>
        <v>-2.4586965694113228E-2</v>
      </c>
      <c r="I110" s="111"/>
    </row>
    <row r="111" spans="1:15">
      <c r="A111" s="4"/>
      <c r="B111" s="4"/>
      <c r="C111" s="4"/>
      <c r="D111" s="4"/>
      <c r="E111" s="4"/>
      <c r="F111" s="4"/>
      <c r="G111" s="4"/>
    </row>
    <row r="112" spans="1:15">
      <c r="A112" s="4"/>
      <c r="B112" s="4"/>
      <c r="C112" s="4"/>
      <c r="D112" s="4"/>
      <c r="E112" s="4"/>
      <c r="F112" s="4"/>
      <c r="G112" s="4"/>
    </row>
    <row r="113" spans="1:7">
      <c r="A113" s="4"/>
      <c r="B113" s="4"/>
      <c r="C113" s="4"/>
      <c r="D113" s="4"/>
      <c r="E113" s="4"/>
      <c r="F113" s="4"/>
      <c r="G113" s="4"/>
    </row>
    <row r="114" spans="1:7">
      <c r="A114" s="4"/>
      <c r="B114" s="4"/>
      <c r="C114" s="4"/>
      <c r="D114" s="4"/>
      <c r="E114" s="4"/>
      <c r="F114" s="4"/>
      <c r="G114" s="4"/>
    </row>
    <row r="115" spans="1:7">
      <c r="A115" s="4"/>
      <c r="B115" s="4"/>
      <c r="C115" s="4"/>
      <c r="D115" s="4"/>
      <c r="E115" s="4"/>
      <c r="F115" s="4"/>
      <c r="G115" s="4"/>
    </row>
    <row r="116" spans="1:7">
      <c r="A116" s="4"/>
      <c r="B116" s="4"/>
      <c r="C116" s="4"/>
      <c r="D116" s="4"/>
      <c r="E116" s="4"/>
      <c r="F116" s="4"/>
      <c r="G116" s="4"/>
    </row>
    <row r="117" spans="1:7">
      <c r="A117" s="4"/>
      <c r="B117" s="4"/>
      <c r="C117" s="4"/>
      <c r="D117" s="4"/>
      <c r="E117" s="4"/>
      <c r="F117" s="4"/>
      <c r="G117" s="4"/>
    </row>
    <row r="118" spans="1:7">
      <c r="A118" s="4"/>
      <c r="B118" s="4"/>
      <c r="C118" s="4"/>
      <c r="D118" s="4"/>
      <c r="E118" s="4"/>
      <c r="F118" s="4"/>
      <c r="G118" s="4"/>
    </row>
    <row r="119" spans="1:7">
      <c r="A119" s="4"/>
      <c r="B119" s="4"/>
      <c r="C119" s="4"/>
      <c r="D119" s="4"/>
      <c r="E119" s="4"/>
      <c r="F119" s="4"/>
      <c r="G119" s="4"/>
    </row>
    <row r="120" spans="1:7">
      <c r="A120" s="4"/>
      <c r="B120" s="4"/>
      <c r="C120" s="4"/>
      <c r="D120" s="4"/>
      <c r="E120" s="4"/>
      <c r="F120" s="4"/>
      <c r="G120" s="4"/>
    </row>
    <row r="121" spans="1:7">
      <c r="A121" s="4"/>
      <c r="B121" s="4"/>
      <c r="C121" s="4"/>
      <c r="D121" s="4"/>
      <c r="E121" s="4"/>
      <c r="F121" s="4"/>
      <c r="G121" s="4"/>
    </row>
    <row r="122" spans="1:7">
      <c r="A122" s="4"/>
      <c r="B122" s="4"/>
      <c r="C122" s="4"/>
      <c r="D122" s="4"/>
      <c r="E122" s="4"/>
      <c r="F122" s="4"/>
      <c r="G122" s="4"/>
    </row>
    <row r="123" spans="1:7">
      <c r="A123" s="4"/>
      <c r="B123" s="4"/>
      <c r="C123" s="4"/>
      <c r="D123" s="4"/>
      <c r="E123" s="4"/>
      <c r="F123" s="4"/>
      <c r="G123" s="4"/>
    </row>
    <row r="124" spans="1:7">
      <c r="A124" s="4"/>
      <c r="B124" s="4"/>
      <c r="C124" s="4"/>
      <c r="D124" s="4"/>
      <c r="E124" s="4"/>
      <c r="F124" s="4"/>
      <c r="G124" s="4"/>
    </row>
    <row r="125" spans="1:7">
      <c r="A125" s="4"/>
      <c r="B125" s="4"/>
      <c r="C125" s="4"/>
      <c r="D125" s="4"/>
      <c r="E125" s="4"/>
      <c r="F125" s="4"/>
      <c r="G125" s="4"/>
    </row>
    <row r="126" spans="1:7">
      <c r="A126" s="4"/>
      <c r="B126" s="4"/>
      <c r="C126" s="4"/>
      <c r="D126" s="4"/>
      <c r="E126" s="4"/>
      <c r="F126" s="4"/>
      <c r="G126" s="4"/>
    </row>
    <row r="127" spans="1:7">
      <c r="A127" s="4"/>
      <c r="B127" s="4"/>
      <c r="C127" s="4"/>
      <c r="D127" s="4"/>
      <c r="E127" s="4"/>
      <c r="F127" s="4"/>
      <c r="G127" s="4"/>
    </row>
    <row r="128" spans="1:7">
      <c r="A128" s="4"/>
      <c r="B128" s="4"/>
      <c r="C128" s="4"/>
      <c r="D128" s="4"/>
      <c r="E128" s="4"/>
      <c r="F128" s="4"/>
      <c r="G128" s="4"/>
    </row>
    <row r="129" spans="1:7">
      <c r="A129" s="4"/>
      <c r="B129" s="4"/>
      <c r="C129" s="4"/>
      <c r="D129" s="4"/>
      <c r="E129" s="4"/>
      <c r="F129" s="4"/>
      <c r="G129" s="4"/>
    </row>
    <row r="130" spans="1:7">
      <c r="A130" s="4"/>
      <c r="B130" s="4"/>
      <c r="C130" s="4"/>
      <c r="D130" s="4"/>
      <c r="E130" s="4"/>
      <c r="F130" s="4"/>
      <c r="G130" s="4"/>
    </row>
    <row r="426" spans="1:11">
      <c r="K426" s="64"/>
    </row>
    <row r="427" spans="1:11">
      <c r="J427" s="42"/>
      <c r="K427" s="52"/>
    </row>
    <row r="428" spans="1:11">
      <c r="A428" s="97"/>
      <c r="B428" s="42"/>
      <c r="C428" s="42"/>
      <c r="D428" s="42"/>
      <c r="E428" s="42"/>
      <c r="F428" s="42"/>
      <c r="G428" s="42"/>
      <c r="H428" s="42"/>
      <c r="I428" s="42"/>
      <c r="K428" s="52"/>
    </row>
    <row r="429" spans="1:11">
      <c r="A429" s="51"/>
      <c r="B429" s="4"/>
      <c r="C429" s="4"/>
      <c r="D429" s="4"/>
      <c r="E429" s="4"/>
      <c r="F429" s="4"/>
      <c r="G429" s="4"/>
      <c r="K429" s="52"/>
    </row>
    <row r="430" spans="1:11">
      <c r="A430" s="51"/>
      <c r="B430" s="4"/>
      <c r="C430" s="4"/>
      <c r="D430" s="4"/>
      <c r="E430" s="4"/>
      <c r="F430" s="4"/>
      <c r="G430" s="4"/>
      <c r="K430" s="52"/>
    </row>
    <row r="431" spans="1:11">
      <c r="A431" s="51"/>
      <c r="B431" s="4"/>
      <c r="C431" s="4"/>
      <c r="D431" s="4"/>
      <c r="E431" s="4"/>
      <c r="F431" s="4"/>
      <c r="G431" s="4"/>
      <c r="K431" s="52"/>
    </row>
    <row r="432" spans="1:11">
      <c r="A432" s="51"/>
      <c r="B432" s="4"/>
      <c r="C432" s="4"/>
      <c r="D432" s="4"/>
      <c r="E432" s="4"/>
      <c r="F432" s="4"/>
      <c r="G432" s="4"/>
      <c r="K432" s="52"/>
    </row>
    <row r="433" spans="1:11">
      <c r="A433" s="51"/>
      <c r="B433" s="4"/>
      <c r="C433" s="4"/>
      <c r="D433" s="4"/>
      <c r="E433" s="4"/>
      <c r="F433" s="4"/>
      <c r="G433" s="4"/>
      <c r="K433" s="52"/>
    </row>
    <row r="434" spans="1:11">
      <c r="A434" s="51"/>
      <c r="B434" s="4"/>
      <c r="C434" s="4"/>
      <c r="D434" s="4"/>
      <c r="E434" s="4"/>
      <c r="F434" s="4"/>
      <c r="G434" s="4"/>
      <c r="K434" s="52"/>
    </row>
    <row r="435" spans="1:11">
      <c r="A435" s="51"/>
      <c r="B435" s="4"/>
      <c r="C435" s="4"/>
      <c r="D435" s="4"/>
      <c r="E435" s="4"/>
      <c r="F435" s="4"/>
      <c r="G435" s="4"/>
      <c r="K435" s="52"/>
    </row>
    <row r="436" spans="1:11">
      <c r="A436" s="51"/>
      <c r="B436" s="4"/>
      <c r="C436" s="4"/>
      <c r="D436" s="4"/>
      <c r="E436" s="4"/>
      <c r="F436" s="4"/>
      <c r="G436" s="4"/>
      <c r="K436" s="52"/>
    </row>
    <row r="437" spans="1:11">
      <c r="A437" s="51"/>
      <c r="B437" s="4"/>
      <c r="C437" s="4"/>
      <c r="D437" s="4"/>
      <c r="E437" s="4"/>
      <c r="F437" s="4"/>
      <c r="G437" s="4"/>
      <c r="K437" s="52"/>
    </row>
    <row r="438" spans="1:11">
      <c r="A438" s="51"/>
      <c r="B438" s="4"/>
      <c r="C438" s="4"/>
      <c r="D438" s="4"/>
      <c r="E438" s="4"/>
      <c r="F438" s="4"/>
      <c r="G438" s="4"/>
      <c r="K438" s="52"/>
    </row>
    <row r="439" spans="1:11">
      <c r="A439" s="51"/>
      <c r="B439" s="4"/>
      <c r="C439" s="4"/>
      <c r="D439" s="4"/>
      <c r="E439" s="4"/>
      <c r="F439" s="4"/>
      <c r="G439" s="4"/>
      <c r="K439" s="52"/>
    </row>
    <row r="440" spans="1:11">
      <c r="A440" s="51"/>
      <c r="B440" s="4"/>
      <c r="C440" s="4"/>
      <c r="D440" s="4"/>
      <c r="E440" s="4"/>
      <c r="F440" s="4"/>
      <c r="G440" s="4"/>
      <c r="K440" s="52"/>
    </row>
    <row r="441" spans="1:11">
      <c r="A441" s="51"/>
      <c r="B441" s="4"/>
      <c r="C441" s="4"/>
      <c r="D441" s="4"/>
      <c r="E441" s="4"/>
      <c r="F441" s="4"/>
      <c r="G441" s="4"/>
      <c r="K441" s="52"/>
    </row>
    <row r="442" spans="1:11">
      <c r="A442" s="51"/>
      <c r="B442" s="4"/>
      <c r="C442" s="4"/>
      <c r="D442" s="4"/>
      <c r="E442" s="4"/>
      <c r="F442" s="4"/>
      <c r="G442" s="4"/>
      <c r="K442" s="52"/>
    </row>
    <row r="443" spans="1:11">
      <c r="A443" s="51"/>
      <c r="B443" s="4"/>
      <c r="C443" s="4"/>
      <c r="D443" s="4"/>
      <c r="E443" s="4"/>
      <c r="F443" s="4"/>
      <c r="G443" s="4"/>
      <c r="K443" s="52"/>
    </row>
    <row r="444" spans="1:11">
      <c r="A444" s="51"/>
      <c r="B444" s="4"/>
      <c r="C444" s="4"/>
      <c r="D444" s="4"/>
      <c r="E444" s="4"/>
      <c r="F444" s="4"/>
      <c r="G444" s="4"/>
      <c r="K444" s="52"/>
    </row>
    <row r="445" spans="1:11">
      <c r="A445" s="51"/>
      <c r="B445" s="4"/>
      <c r="C445" s="4"/>
      <c r="D445" s="4"/>
      <c r="E445" s="4"/>
      <c r="F445" s="4"/>
      <c r="G445" s="4"/>
      <c r="K445" s="52"/>
    </row>
    <row r="446" spans="1:11">
      <c r="A446" s="51"/>
      <c r="B446" s="4"/>
      <c r="C446" s="4"/>
      <c r="D446" s="4"/>
      <c r="E446" s="4"/>
      <c r="F446" s="4"/>
      <c r="G446" s="4"/>
      <c r="K446" s="54"/>
    </row>
    <row r="447" spans="1:11">
      <c r="A447" s="51"/>
      <c r="B447" s="4"/>
      <c r="C447" s="4"/>
      <c r="D447" s="4"/>
      <c r="E447" s="4"/>
      <c r="F447" s="4"/>
      <c r="G447" s="4"/>
      <c r="J447" s="40"/>
    </row>
    <row r="448" spans="1:11">
      <c r="A448" s="53"/>
      <c r="B448" s="40"/>
      <c r="C448" s="40"/>
      <c r="D448" s="40"/>
      <c r="E448" s="40"/>
      <c r="F448" s="40"/>
      <c r="G448" s="40"/>
      <c r="H448" s="40"/>
      <c r="I448" s="40"/>
    </row>
  </sheetData>
  <mergeCells count="8">
    <mergeCell ref="A1:G1"/>
    <mergeCell ref="B8:G8"/>
    <mergeCell ref="B2:F2"/>
    <mergeCell ref="B3:G3"/>
    <mergeCell ref="B4:G4"/>
    <mergeCell ref="B5:G5"/>
    <mergeCell ref="B6:G6"/>
    <mergeCell ref="B7:G7"/>
  </mergeCells>
  <dataValidations count="1">
    <dataValidation type="whole" showInputMessage="1" sqref="C54:C61 C63:C74 C76:C87 C89:C109" xr:uid="{00000000-0002-0000-0500-000000000000}">
      <formula1>0</formula1>
      <formula2>500000</formula2>
    </dataValidation>
  </dataValidations>
  <printOptions horizontalCentered="1" verticalCentered="1"/>
  <pageMargins left="0.25" right="0.25" top="0.75" bottom="0.75" header="0.3" footer="0.3"/>
  <pageSetup paperSize="9" scale="110" orientation="portrait" r:id="rId1"/>
  <ignoredErrors>
    <ignoredError sqref="G89:G90 G11:G48 B49:F49 G91:G105" formulaRange="1"/>
    <ignoredError sqref="G87 G63:G74 G50:G61 G76:G83" formula="1" formulaRange="1"/>
    <ignoredError sqref="G49 G84:G86 G62 G75 G8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1:BF134"/>
  <sheetViews>
    <sheetView showGridLines="0" view="pageBreakPreview" topLeftCell="A7" zoomScaleNormal="85" zoomScaleSheetLayoutView="100" workbookViewId="0">
      <selection activeCell="G102" sqref="G102:G103"/>
    </sheetView>
  </sheetViews>
  <sheetFormatPr baseColWidth="10" defaultColWidth="12" defaultRowHeight="12.75"/>
  <cols>
    <col min="1" max="7" width="13.83203125" style="1" customWidth="1"/>
    <col min="8" max="8" width="12" style="4"/>
    <col min="9" max="11" width="14" style="1" bestFit="1" customWidth="1"/>
    <col min="12" max="13" width="13" style="1" bestFit="1" customWidth="1"/>
    <col min="14" max="14" width="14" style="1" bestFit="1" customWidth="1"/>
    <col min="15" max="16384" width="12" style="1"/>
  </cols>
  <sheetData>
    <row r="1" spans="1:37" ht="36" customHeight="1" thickBot="1">
      <c r="A1" s="3032" t="s">
        <v>7</v>
      </c>
      <c r="B1" s="3033"/>
      <c r="C1" s="3033"/>
      <c r="D1" s="3033"/>
      <c r="E1" s="3033"/>
      <c r="F1" s="3033"/>
      <c r="G1" s="3034"/>
      <c r="I1" s="4"/>
      <c r="J1" s="4"/>
      <c r="K1" s="4"/>
      <c r="L1" s="4"/>
      <c r="M1" s="4"/>
      <c r="N1" s="4"/>
      <c r="O1" s="4"/>
      <c r="P1" s="4"/>
    </row>
    <row r="2" spans="1:37" s="3" customFormat="1" ht="24" customHeight="1">
      <c r="A2" s="1678" t="s">
        <v>18</v>
      </c>
      <c r="B2" s="141"/>
      <c r="C2" s="3035" t="s">
        <v>13</v>
      </c>
      <c r="D2" s="3003"/>
      <c r="E2" s="3003"/>
      <c r="F2" s="3004"/>
      <c r="G2" s="1679" t="s">
        <v>133</v>
      </c>
      <c r="H2" s="62"/>
      <c r="I2" s="62"/>
      <c r="J2" s="62"/>
      <c r="K2" s="62"/>
      <c r="L2" s="62"/>
      <c r="M2" s="62"/>
      <c r="N2" s="62"/>
      <c r="O2" s="62"/>
      <c r="P2" s="62"/>
    </row>
    <row r="3" spans="1:37" s="3" customFormat="1" ht="24" customHeight="1">
      <c r="A3" s="226" t="s">
        <v>17</v>
      </c>
      <c r="B3" s="49"/>
      <c r="C3" s="3017" t="s">
        <v>166</v>
      </c>
      <c r="D3" s="3018"/>
      <c r="E3" s="3018"/>
      <c r="F3" s="3018"/>
      <c r="G3" s="3019"/>
      <c r="H3" s="62"/>
      <c r="I3" s="62"/>
      <c r="J3" s="62"/>
      <c r="K3" s="62"/>
      <c r="L3" s="62"/>
      <c r="M3" s="62"/>
      <c r="N3" s="62"/>
      <c r="O3" s="62"/>
      <c r="P3" s="62"/>
    </row>
    <row r="4" spans="1:37" s="3" customFormat="1" ht="24" customHeight="1">
      <c r="A4" s="226" t="s">
        <v>8</v>
      </c>
      <c r="B4" s="49"/>
      <c r="C4" s="3017" t="s">
        <v>234</v>
      </c>
      <c r="D4" s="3018"/>
      <c r="E4" s="3018"/>
      <c r="F4" s="3018"/>
      <c r="G4" s="3019"/>
      <c r="H4" s="62"/>
      <c r="I4" s="62"/>
      <c r="J4" s="62"/>
      <c r="K4" s="62"/>
      <c r="L4" s="62"/>
      <c r="M4" s="62"/>
      <c r="N4" s="62"/>
      <c r="O4" s="62"/>
      <c r="P4" s="62"/>
    </row>
    <row r="5" spans="1:37" s="3" customFormat="1" ht="24" customHeight="1">
      <c r="A5" s="226" t="s">
        <v>11</v>
      </c>
      <c r="B5" s="49"/>
      <c r="C5" s="3017" t="s">
        <v>14</v>
      </c>
      <c r="D5" s="3018"/>
      <c r="E5" s="3018"/>
      <c r="F5" s="3018"/>
      <c r="G5" s="3019"/>
      <c r="H5" s="62"/>
      <c r="I5" s="72"/>
      <c r="J5" s="4"/>
      <c r="K5" s="73"/>
      <c r="L5" s="4"/>
      <c r="M5" s="72"/>
      <c r="N5" s="62"/>
      <c r="O5" s="62"/>
      <c r="P5" s="62"/>
    </row>
    <row r="6" spans="1:37" s="3" customFormat="1" ht="24" customHeight="1">
      <c r="A6" s="226" t="s">
        <v>16</v>
      </c>
      <c r="B6" s="49"/>
      <c r="C6" s="3017" t="s">
        <v>15</v>
      </c>
      <c r="D6" s="3018"/>
      <c r="E6" s="3018"/>
      <c r="F6" s="3018"/>
      <c r="G6" s="3019"/>
      <c r="H6" s="62"/>
      <c r="I6" s="62"/>
      <c r="J6" s="62"/>
      <c r="K6" s="62"/>
      <c r="L6" s="62"/>
      <c r="M6" s="62"/>
      <c r="N6" s="62"/>
      <c r="O6" s="62"/>
      <c r="P6" s="62"/>
    </row>
    <row r="7" spans="1:37" s="3" customFormat="1" ht="24" customHeight="1">
      <c r="A7" s="226" t="s">
        <v>9</v>
      </c>
      <c r="B7" s="49"/>
      <c r="C7" s="3017" t="s">
        <v>700</v>
      </c>
      <c r="D7" s="3018"/>
      <c r="E7" s="3018"/>
      <c r="F7" s="3018"/>
      <c r="G7" s="3019"/>
      <c r="H7" s="62"/>
      <c r="I7" s="62"/>
      <c r="J7" s="62"/>
      <c r="K7" s="62"/>
      <c r="L7" s="62"/>
      <c r="M7" s="62"/>
      <c r="N7" s="62"/>
      <c r="O7" s="62"/>
      <c r="P7" s="62"/>
      <c r="AK7" s="37"/>
    </row>
    <row r="8" spans="1:37" s="3" customFormat="1" ht="24" customHeight="1" thickBot="1">
      <c r="A8" s="228" t="s">
        <v>21</v>
      </c>
      <c r="B8" s="142"/>
      <c r="C8" s="3029"/>
      <c r="D8" s="3030"/>
      <c r="E8" s="3030"/>
      <c r="F8" s="3030"/>
      <c r="G8" s="3031"/>
      <c r="H8" s="62"/>
      <c r="I8" s="62"/>
      <c r="J8" s="62"/>
      <c r="K8" s="62"/>
      <c r="L8" s="62"/>
      <c r="M8" s="62"/>
      <c r="N8" s="62"/>
      <c r="O8" s="62"/>
      <c r="P8" s="62"/>
    </row>
    <row r="9" spans="1:37" ht="12.75" customHeight="1" thickBot="1">
      <c r="A9" s="1680"/>
      <c r="B9" s="145"/>
      <c r="C9" s="145"/>
      <c r="D9" s="145"/>
      <c r="E9" s="145"/>
      <c r="F9" s="145"/>
      <c r="G9" s="1681"/>
      <c r="I9" s="4"/>
      <c r="J9"/>
      <c r="K9"/>
      <c r="L9"/>
      <c r="M9"/>
      <c r="N9"/>
      <c r="O9"/>
      <c r="P9"/>
    </row>
    <row r="10" spans="1:37" s="4" customFormat="1" ht="22.5" customHeight="1" thickBot="1">
      <c r="A10" s="208" t="s">
        <v>56</v>
      </c>
      <c r="B10" s="143" t="s">
        <v>0</v>
      </c>
      <c r="C10" s="143" t="s">
        <v>1</v>
      </c>
      <c r="D10" s="143" t="s">
        <v>2</v>
      </c>
      <c r="E10" s="143" t="s">
        <v>3</v>
      </c>
      <c r="F10" s="143" t="s">
        <v>4</v>
      </c>
      <c r="G10" s="181" t="s">
        <v>5</v>
      </c>
      <c r="J10"/>
      <c r="K10"/>
      <c r="L10"/>
      <c r="M10"/>
      <c r="N10"/>
      <c r="O10"/>
      <c r="P10"/>
    </row>
    <row r="11" spans="1:37" ht="0.75" customHeight="1">
      <c r="A11" s="220">
        <v>40544</v>
      </c>
      <c r="B11" s="177">
        <v>1221443.68</v>
      </c>
      <c r="C11" s="178">
        <v>855846.81</v>
      </c>
      <c r="D11" s="177">
        <v>41878.230000000003</v>
      </c>
      <c r="E11" s="178">
        <v>143671.26999999999</v>
      </c>
      <c r="F11" s="177">
        <v>449451.23</v>
      </c>
      <c r="G11" s="205">
        <f>SUM(B11:F11)</f>
        <v>2712291.22</v>
      </c>
      <c r="I11" s="4"/>
      <c r="J11" s="4"/>
      <c r="K11" s="4"/>
      <c r="L11" s="4"/>
      <c r="M11" s="4"/>
      <c r="N11" s="4"/>
      <c r="O11" s="4"/>
      <c r="P11" s="4"/>
    </row>
    <row r="12" spans="1:37" ht="19.5" hidden="1" customHeight="1">
      <c r="A12" s="182">
        <v>40575</v>
      </c>
      <c r="B12" s="91">
        <v>1236022.6499999999</v>
      </c>
      <c r="C12" s="92">
        <v>863702.23</v>
      </c>
      <c r="D12" s="91">
        <v>41767.339999999997</v>
      </c>
      <c r="E12" s="92">
        <v>145343.19</v>
      </c>
      <c r="F12" s="91">
        <v>461981.69</v>
      </c>
      <c r="G12" s="179">
        <f t="shared" ref="G12:G57" si="0">SUM(B12:F12)</f>
        <v>2748817.0999999996</v>
      </c>
      <c r="I12" s="4"/>
      <c r="J12" s="4"/>
      <c r="K12" s="4"/>
      <c r="L12" s="4"/>
      <c r="M12" s="4"/>
      <c r="N12" s="4"/>
      <c r="O12" s="4"/>
      <c r="P12" s="4"/>
    </row>
    <row r="13" spans="1:37" ht="19.5" hidden="1" customHeight="1">
      <c r="A13" s="182">
        <v>40603</v>
      </c>
      <c r="B13" s="91">
        <v>1245656.25</v>
      </c>
      <c r="C13" s="92">
        <v>863949.53</v>
      </c>
      <c r="D13" s="91">
        <v>40900.47</v>
      </c>
      <c r="E13" s="92">
        <v>148747.18</v>
      </c>
      <c r="F13" s="91">
        <v>458156.38</v>
      </c>
      <c r="G13" s="179">
        <f t="shared" si="0"/>
        <v>2757409.8100000005</v>
      </c>
      <c r="I13" s="4"/>
      <c r="J13" s="4"/>
      <c r="K13" s="4"/>
      <c r="L13" s="4"/>
      <c r="M13" s="4"/>
      <c r="N13" s="4"/>
      <c r="O13" s="4"/>
      <c r="P13" s="4"/>
    </row>
    <row r="14" spans="1:37" ht="19.5" hidden="1" customHeight="1">
      <c r="A14" s="182">
        <v>40634</v>
      </c>
      <c r="B14" s="91">
        <v>1224538.22</v>
      </c>
      <c r="C14" s="92">
        <v>858271.68</v>
      </c>
      <c r="D14" s="91">
        <v>39634.53</v>
      </c>
      <c r="E14" s="92">
        <v>151204.70000000001</v>
      </c>
      <c r="F14" s="91">
        <v>447179.61</v>
      </c>
      <c r="G14" s="179">
        <f t="shared" si="0"/>
        <v>2720828.7399999998</v>
      </c>
      <c r="I14" s="4"/>
      <c r="J14" s="4"/>
      <c r="K14" s="4"/>
      <c r="L14" s="4"/>
      <c r="M14" s="4"/>
      <c r="N14" s="4"/>
      <c r="O14" s="4"/>
      <c r="P14" s="4"/>
    </row>
    <row r="15" spans="1:37" ht="19.5" hidden="1" customHeight="1">
      <c r="A15" s="182">
        <v>40664</v>
      </c>
      <c r="B15" s="91">
        <v>1229015.82</v>
      </c>
      <c r="C15" s="92">
        <v>869751.46</v>
      </c>
      <c r="D15" s="91">
        <v>38645.86</v>
      </c>
      <c r="E15" s="92">
        <v>153759.76999999999</v>
      </c>
      <c r="F15" s="91">
        <v>458263.63</v>
      </c>
      <c r="G15" s="179">
        <f t="shared" si="0"/>
        <v>2749436.54</v>
      </c>
      <c r="I15" s="4"/>
      <c r="J15" s="4"/>
      <c r="K15" s="4"/>
      <c r="L15" s="4"/>
      <c r="M15" s="4"/>
      <c r="N15" s="4"/>
      <c r="O15" s="4"/>
      <c r="P15" s="4"/>
    </row>
    <row r="16" spans="1:37" ht="19.5" hidden="1" customHeight="1">
      <c r="A16" s="182">
        <v>40695</v>
      </c>
      <c r="B16" s="91">
        <v>1233119.8799999999</v>
      </c>
      <c r="C16" s="92">
        <v>885335.02</v>
      </c>
      <c r="D16" s="91">
        <v>38052.080000000002</v>
      </c>
      <c r="E16" s="92">
        <v>159938.49</v>
      </c>
      <c r="F16" s="91">
        <v>468489.71</v>
      </c>
      <c r="G16" s="179">
        <f t="shared" si="0"/>
        <v>2784935.1799999997</v>
      </c>
      <c r="I16" s="4"/>
      <c r="J16" s="4"/>
      <c r="K16" s="4"/>
      <c r="L16" s="4"/>
      <c r="M16" s="4"/>
      <c r="N16" s="4"/>
      <c r="O16" s="4"/>
      <c r="P16" s="4"/>
    </row>
    <row r="17" spans="1:16" ht="19.5" hidden="1" customHeight="1">
      <c r="A17" s="182">
        <v>40725</v>
      </c>
      <c r="B17" s="91">
        <v>1245228.3899999999</v>
      </c>
      <c r="C17" s="92">
        <v>900667.03</v>
      </c>
      <c r="D17" s="91">
        <v>37965.449999999997</v>
      </c>
      <c r="E17" s="92">
        <v>166403.45000000001</v>
      </c>
      <c r="F17" s="91">
        <v>477610.3</v>
      </c>
      <c r="G17" s="179">
        <f t="shared" si="0"/>
        <v>2827874.62</v>
      </c>
      <c r="I17" s="4"/>
      <c r="J17" s="4"/>
      <c r="K17" s="4"/>
      <c r="L17" s="4"/>
      <c r="M17" s="4"/>
      <c r="N17" s="4"/>
      <c r="O17" s="4"/>
      <c r="P17" s="4"/>
    </row>
    <row r="18" spans="1:16" ht="19.5" hidden="1" customHeight="1">
      <c r="A18" s="182">
        <v>40756</v>
      </c>
      <c r="B18" s="91">
        <v>1248432.18</v>
      </c>
      <c r="C18" s="92">
        <v>907540.31</v>
      </c>
      <c r="D18" s="91">
        <v>37710.85</v>
      </c>
      <c r="E18" s="92">
        <v>172834.71</v>
      </c>
      <c r="F18" s="91">
        <v>485738.63</v>
      </c>
      <c r="G18" s="179">
        <f t="shared" si="0"/>
        <v>2852256.68</v>
      </c>
      <c r="I18" s="4"/>
      <c r="J18" s="4"/>
      <c r="K18" s="4"/>
      <c r="L18" s="4"/>
      <c r="M18" s="4"/>
      <c r="N18" s="4"/>
      <c r="O18" s="4"/>
      <c r="P18" s="4"/>
    </row>
    <row r="19" spans="1:16" ht="19.5" hidden="1" customHeight="1">
      <c r="A19" s="182">
        <v>40787</v>
      </c>
      <c r="B19" s="91">
        <v>1263514.76</v>
      </c>
      <c r="C19" s="92">
        <v>920233.38</v>
      </c>
      <c r="D19" s="91">
        <v>37249.07</v>
      </c>
      <c r="E19" s="92">
        <v>166332.74</v>
      </c>
      <c r="F19" s="91">
        <v>495701.34</v>
      </c>
      <c r="G19" s="179">
        <f t="shared" si="0"/>
        <v>2883031.29</v>
      </c>
      <c r="I19" s="4"/>
      <c r="J19" s="4"/>
      <c r="K19" s="4"/>
      <c r="L19" s="4"/>
      <c r="M19" s="4"/>
      <c r="N19" s="4"/>
      <c r="O19" s="4"/>
      <c r="P19" s="4"/>
    </row>
    <row r="20" spans="1:16" ht="19.5" hidden="1" customHeight="1">
      <c r="A20" s="182">
        <v>40817</v>
      </c>
      <c r="B20" s="91">
        <v>1273163.77</v>
      </c>
      <c r="C20" s="92">
        <v>927688.96</v>
      </c>
      <c r="D20" s="91">
        <v>37087.980000000003</v>
      </c>
      <c r="E20" s="92">
        <v>159258.92000000001</v>
      </c>
      <c r="F20" s="91">
        <v>503476.95</v>
      </c>
      <c r="G20" s="179">
        <f t="shared" si="0"/>
        <v>2900676.58</v>
      </c>
      <c r="I20" s="4"/>
      <c r="J20" s="4"/>
      <c r="K20" s="4"/>
      <c r="L20" s="4"/>
      <c r="M20" s="4"/>
      <c r="N20" s="4"/>
      <c r="O20" s="4"/>
      <c r="P20" s="4"/>
    </row>
    <row r="21" spans="1:16" ht="19.5" hidden="1" customHeight="1">
      <c r="A21" s="182">
        <v>40848</v>
      </c>
      <c r="B21" s="91">
        <v>1285024.03</v>
      </c>
      <c r="C21" s="92">
        <v>932489.75</v>
      </c>
      <c r="D21" s="91">
        <v>36894.94</v>
      </c>
      <c r="E21" s="92">
        <v>151671.67000000001</v>
      </c>
      <c r="F21" s="91">
        <v>512247.56</v>
      </c>
      <c r="G21" s="179">
        <f t="shared" si="0"/>
        <v>2918327.95</v>
      </c>
      <c r="I21" s="4"/>
      <c r="J21" s="4"/>
      <c r="K21" s="4"/>
      <c r="L21" s="4"/>
      <c r="M21" s="4"/>
      <c r="N21" s="4"/>
      <c r="O21" s="4"/>
      <c r="P21" s="4"/>
    </row>
    <row r="22" spans="1:16" ht="19.5" hidden="1" customHeight="1">
      <c r="A22" s="182">
        <v>40878</v>
      </c>
      <c r="B22" s="91">
        <v>1287907.8700000001</v>
      </c>
      <c r="C22" s="92">
        <v>933891.56</v>
      </c>
      <c r="D22" s="91">
        <v>36967.870000000003</v>
      </c>
      <c r="E22" s="92">
        <v>143283.78</v>
      </c>
      <c r="F22" s="91">
        <v>524818</v>
      </c>
      <c r="G22" s="179">
        <f t="shared" si="0"/>
        <v>2926869.08</v>
      </c>
      <c r="I22" s="4"/>
      <c r="J22" s="4"/>
      <c r="K22" s="4"/>
      <c r="L22" s="4"/>
      <c r="M22" s="4"/>
      <c r="N22" s="4"/>
      <c r="O22" s="4"/>
      <c r="P22" s="4"/>
    </row>
    <row r="23" spans="1:16" ht="19.5" hidden="1" customHeight="1">
      <c r="A23" s="183">
        <v>40909</v>
      </c>
      <c r="B23" s="263">
        <v>1300236.3700000001</v>
      </c>
      <c r="C23" s="101">
        <v>944728.26</v>
      </c>
      <c r="D23" s="263">
        <v>37105.85</v>
      </c>
      <c r="E23" s="101">
        <v>136400.22</v>
      </c>
      <c r="F23" s="263">
        <v>535781.17000000004</v>
      </c>
      <c r="G23" s="184">
        <f t="shared" si="0"/>
        <v>2954251.87</v>
      </c>
      <c r="I23" s="4"/>
      <c r="J23" s="4"/>
      <c r="K23" s="4"/>
      <c r="L23" s="4"/>
      <c r="M23" s="4"/>
      <c r="N23" s="4"/>
      <c r="O23" s="4"/>
      <c r="P23" s="4"/>
    </row>
    <row r="24" spans="1:16" ht="19.5" hidden="1" customHeight="1">
      <c r="A24" s="182">
        <v>40940</v>
      </c>
      <c r="B24" s="91">
        <v>1302100.52</v>
      </c>
      <c r="C24" s="92">
        <v>945519.6</v>
      </c>
      <c r="D24" s="91">
        <v>36750</v>
      </c>
      <c r="E24" s="92">
        <v>125526.02</v>
      </c>
      <c r="F24" s="91">
        <v>534519.68999999994</v>
      </c>
      <c r="G24" s="179">
        <f t="shared" si="0"/>
        <v>2944415.83</v>
      </c>
      <c r="I24" s="4"/>
      <c r="J24" s="4"/>
      <c r="K24" s="4"/>
      <c r="L24" s="4"/>
      <c r="M24" s="4"/>
      <c r="N24" s="4"/>
      <c r="O24" s="4"/>
      <c r="P24" s="4"/>
    </row>
    <row r="25" spans="1:16" ht="19.5" hidden="1" customHeight="1">
      <c r="A25" s="182">
        <v>40969</v>
      </c>
      <c r="B25" s="91">
        <v>1304037.3</v>
      </c>
      <c r="C25" s="92">
        <v>955796.7</v>
      </c>
      <c r="D25" s="91">
        <v>36926.239999999998</v>
      </c>
      <c r="E25" s="92">
        <v>112306.13</v>
      </c>
      <c r="F25" s="91">
        <v>547233.80000000005</v>
      </c>
      <c r="G25" s="179">
        <f t="shared" si="0"/>
        <v>2956300.17</v>
      </c>
      <c r="I25" s="4"/>
      <c r="J25" s="4"/>
      <c r="K25" s="4"/>
      <c r="L25" s="4"/>
      <c r="M25" s="4"/>
      <c r="N25" s="4"/>
      <c r="O25" s="4"/>
      <c r="P25" s="4"/>
    </row>
    <row r="26" spans="1:16" ht="19.5" hidden="1" customHeight="1">
      <c r="A26" s="182">
        <v>41000</v>
      </c>
      <c r="B26" s="91">
        <v>1325044.44</v>
      </c>
      <c r="C26" s="92">
        <v>968205</v>
      </c>
      <c r="D26" s="91">
        <v>36977.49</v>
      </c>
      <c r="E26" s="92">
        <v>100826.21</v>
      </c>
      <c r="F26" s="91">
        <v>564583.87</v>
      </c>
      <c r="G26" s="179">
        <f t="shared" si="0"/>
        <v>2995637.0100000002</v>
      </c>
      <c r="I26" s="4"/>
      <c r="J26" s="4"/>
      <c r="K26" s="4"/>
      <c r="L26" s="4"/>
      <c r="M26" s="4"/>
      <c r="N26" s="4"/>
      <c r="O26" s="4"/>
      <c r="P26" s="4"/>
    </row>
    <row r="27" spans="1:16" ht="19.5" hidden="1" customHeight="1">
      <c r="A27" s="182">
        <v>41030</v>
      </c>
      <c r="B27" s="91">
        <v>1357607.85</v>
      </c>
      <c r="C27" s="92">
        <v>983671.32</v>
      </c>
      <c r="D27" s="91">
        <v>37542.29</v>
      </c>
      <c r="E27" s="92">
        <v>89229.92</v>
      </c>
      <c r="F27" s="91">
        <v>573381.55000000005</v>
      </c>
      <c r="G27" s="179">
        <f t="shared" si="0"/>
        <v>3041432.9299999997</v>
      </c>
      <c r="I27" s="4"/>
      <c r="J27" s="4"/>
      <c r="K27" s="4"/>
      <c r="L27" s="4"/>
      <c r="M27" s="4"/>
      <c r="N27" s="4"/>
      <c r="O27" s="4"/>
      <c r="P27" s="4"/>
    </row>
    <row r="28" spans="1:16" ht="19.5" hidden="1" customHeight="1">
      <c r="A28" s="182">
        <v>41061</v>
      </c>
      <c r="B28" s="91">
        <v>1380693.68</v>
      </c>
      <c r="C28" s="92">
        <v>987952.28</v>
      </c>
      <c r="D28" s="91">
        <v>37336.82</v>
      </c>
      <c r="E28" s="92">
        <v>74704.039999999994</v>
      </c>
      <c r="F28" s="91">
        <v>580610.76</v>
      </c>
      <c r="G28" s="179">
        <f t="shared" si="0"/>
        <v>3061297.58</v>
      </c>
      <c r="I28" s="4"/>
      <c r="J28" s="4"/>
      <c r="K28" s="4"/>
      <c r="L28" s="4"/>
      <c r="M28" s="4"/>
      <c r="N28" s="4"/>
      <c r="O28" s="4"/>
      <c r="P28" s="4"/>
    </row>
    <row r="29" spans="1:16" ht="19.5" hidden="1" customHeight="1">
      <c r="A29" s="182">
        <v>41091</v>
      </c>
      <c r="B29" s="91">
        <v>1391239.18</v>
      </c>
      <c r="C29" s="92">
        <v>992708.17</v>
      </c>
      <c r="D29" s="91">
        <v>37144.910000000003</v>
      </c>
      <c r="E29" s="92">
        <v>59443.17</v>
      </c>
      <c r="F29" s="91">
        <v>583597.41</v>
      </c>
      <c r="G29" s="179">
        <f t="shared" si="0"/>
        <v>3064132.8400000003</v>
      </c>
      <c r="I29" s="4"/>
      <c r="J29" s="4"/>
      <c r="K29" s="4"/>
      <c r="L29" s="4"/>
      <c r="M29" s="4"/>
      <c r="N29" s="4"/>
      <c r="O29" s="4"/>
      <c r="P29" s="4"/>
    </row>
    <row r="30" spans="1:16" ht="19.5" hidden="1" customHeight="1">
      <c r="A30" s="182">
        <v>41122</v>
      </c>
      <c r="B30" s="91">
        <v>1410276.14</v>
      </c>
      <c r="C30" s="92">
        <v>1002240.79</v>
      </c>
      <c r="D30" s="91">
        <v>37327.18</v>
      </c>
      <c r="E30" s="92">
        <v>44683.65</v>
      </c>
      <c r="F30" s="91">
        <v>588911.01</v>
      </c>
      <c r="G30" s="179">
        <f t="shared" si="0"/>
        <v>3083438.7699999996</v>
      </c>
      <c r="I30" s="4"/>
      <c r="J30" s="4"/>
      <c r="K30" s="4"/>
      <c r="L30" s="4"/>
      <c r="M30" s="4"/>
      <c r="N30" s="4"/>
      <c r="O30" s="4"/>
      <c r="P30" s="4"/>
    </row>
    <row r="31" spans="1:16" ht="19.5" hidden="1" customHeight="1">
      <c r="A31" s="182">
        <v>41153</v>
      </c>
      <c r="B31" s="91">
        <v>1421549.04</v>
      </c>
      <c r="C31" s="92">
        <v>1007011.42</v>
      </c>
      <c r="D31" s="91">
        <v>37424.15</v>
      </c>
      <c r="E31" s="92">
        <v>62660.38</v>
      </c>
      <c r="F31" s="91">
        <v>592430.22</v>
      </c>
      <c r="G31" s="179">
        <f t="shared" si="0"/>
        <v>3121075.21</v>
      </c>
      <c r="I31" s="4"/>
      <c r="J31" s="4"/>
      <c r="K31" s="4"/>
      <c r="L31" s="4"/>
      <c r="M31" s="4"/>
      <c r="N31" s="4"/>
      <c r="O31" s="4"/>
      <c r="P31" s="4"/>
    </row>
    <row r="32" spans="1:16" ht="19.5" hidden="1" customHeight="1">
      <c r="A32" s="182">
        <v>41183</v>
      </c>
      <c r="B32" s="91">
        <v>1424184.57</v>
      </c>
      <c r="C32" s="92">
        <v>1009712.33</v>
      </c>
      <c r="D32" s="91">
        <v>37253.78</v>
      </c>
      <c r="E32" s="92">
        <v>77574.87</v>
      </c>
      <c r="F32" s="91">
        <v>596329.16</v>
      </c>
      <c r="G32" s="179">
        <f t="shared" si="0"/>
        <v>3145054.71</v>
      </c>
      <c r="I32" s="4"/>
      <c r="J32" s="4"/>
      <c r="K32" s="4"/>
      <c r="L32" s="4"/>
      <c r="M32" s="4"/>
      <c r="N32" s="4"/>
      <c r="O32" s="4"/>
      <c r="P32" s="4"/>
    </row>
    <row r="33" spans="1:58" ht="19.5" hidden="1" customHeight="1">
      <c r="A33" s="182">
        <v>41214</v>
      </c>
      <c r="B33" s="91">
        <v>1429600.03</v>
      </c>
      <c r="C33" s="92">
        <v>1012458.43</v>
      </c>
      <c r="D33" s="91">
        <v>37472.65</v>
      </c>
      <c r="E33" s="92">
        <v>94554.19</v>
      </c>
      <c r="F33" s="91">
        <v>600966.26</v>
      </c>
      <c r="G33" s="179">
        <f t="shared" si="0"/>
        <v>3175051.5599999996</v>
      </c>
      <c r="I33" s="4"/>
      <c r="J33" s="4"/>
      <c r="K33" s="4"/>
      <c r="L33" s="4"/>
      <c r="M33" s="4"/>
      <c r="N33" s="4"/>
      <c r="O33" s="4"/>
      <c r="P33" s="4"/>
    </row>
    <row r="34" spans="1:58" ht="19.5" hidden="1" customHeight="1">
      <c r="A34" s="182">
        <v>41244</v>
      </c>
      <c r="B34" s="91">
        <v>1437323.28</v>
      </c>
      <c r="C34" s="92">
        <v>1018973.92</v>
      </c>
      <c r="D34" s="91">
        <v>37702.35</v>
      </c>
      <c r="E34" s="92">
        <v>112714.94</v>
      </c>
      <c r="F34" s="91">
        <v>606171.71</v>
      </c>
      <c r="G34" s="179">
        <f t="shared" si="0"/>
        <v>3212886.2</v>
      </c>
      <c r="I34" s="4"/>
      <c r="J34" s="4"/>
      <c r="K34" s="4"/>
      <c r="L34" s="4"/>
      <c r="M34" s="4"/>
      <c r="N34" s="4"/>
      <c r="O34" s="4"/>
      <c r="P34" s="4"/>
    </row>
    <row r="35" spans="1:58" s="4" customFormat="1" ht="19.5" hidden="1" customHeight="1">
      <c r="A35" s="183">
        <v>41275</v>
      </c>
      <c r="B35" s="91">
        <v>1459561.75</v>
      </c>
      <c r="C35" s="92">
        <v>1028341.71</v>
      </c>
      <c r="D35" s="91">
        <v>38196.400000000001</v>
      </c>
      <c r="E35" s="92">
        <v>107585.45</v>
      </c>
      <c r="F35" s="91">
        <v>607430.06999999995</v>
      </c>
      <c r="G35" s="179">
        <f t="shared" si="0"/>
        <v>3241115.38</v>
      </c>
    </row>
    <row r="36" spans="1:58" s="4" customFormat="1" ht="19.5" hidden="1" customHeight="1">
      <c r="A36" s="183">
        <v>41306</v>
      </c>
      <c r="B36" s="2">
        <v>1485810.74</v>
      </c>
      <c r="C36" s="77">
        <v>1045453.35</v>
      </c>
      <c r="D36" s="2">
        <v>38711.660000000003</v>
      </c>
      <c r="E36" s="77">
        <v>104999.69</v>
      </c>
      <c r="F36" s="2">
        <v>616377.71</v>
      </c>
      <c r="G36" s="184">
        <f t="shared" si="0"/>
        <v>3291353.15</v>
      </c>
    </row>
    <row r="37" spans="1:58" ht="19.5" hidden="1" customHeight="1" thickBot="1">
      <c r="A37" s="183">
        <v>41334</v>
      </c>
      <c r="B37" s="263">
        <v>1497504.31</v>
      </c>
      <c r="C37" s="101">
        <v>1051104.99</v>
      </c>
      <c r="D37" s="263">
        <v>38716.17</v>
      </c>
      <c r="E37" s="101">
        <v>132135.71</v>
      </c>
      <c r="F37" s="263">
        <v>622226.32999999996</v>
      </c>
      <c r="G37" s="184">
        <f t="shared" si="0"/>
        <v>3341687.51</v>
      </c>
      <c r="I37" s="4"/>
      <c r="J37" s="4"/>
      <c r="K37" s="4"/>
      <c r="L37" s="4"/>
      <c r="M37" s="4"/>
      <c r="N37" s="4"/>
      <c r="O37" s="4"/>
      <c r="P37" s="4"/>
    </row>
    <row r="38" spans="1:58" ht="19.5" hidden="1" customHeight="1">
      <c r="A38" s="220">
        <v>41365</v>
      </c>
      <c r="B38" s="177">
        <v>1508545.54</v>
      </c>
      <c r="C38" s="178">
        <v>1064064.24</v>
      </c>
      <c r="D38" s="177">
        <v>38766.730000000003</v>
      </c>
      <c r="E38" s="178">
        <v>160876.62</v>
      </c>
      <c r="F38" s="177">
        <v>624293.80000000005</v>
      </c>
      <c r="G38" s="205">
        <f>SUM(B38:F38)</f>
        <v>3396546.9300000006</v>
      </c>
      <c r="I38" s="4"/>
      <c r="J38" s="4"/>
      <c r="K38" s="4"/>
      <c r="L38" s="4"/>
      <c r="M38" s="4"/>
      <c r="N38" s="4"/>
      <c r="O38" s="4"/>
      <c r="P38" s="4"/>
    </row>
    <row r="39" spans="1:58" ht="19.5" hidden="1" customHeight="1">
      <c r="A39" s="182">
        <v>41395</v>
      </c>
      <c r="B39" s="91">
        <v>1489085.21</v>
      </c>
      <c r="C39" s="92">
        <v>1052930.46</v>
      </c>
      <c r="D39" s="91">
        <v>38503.29</v>
      </c>
      <c r="E39" s="92">
        <v>184707.83</v>
      </c>
      <c r="F39" s="91">
        <v>618583.74</v>
      </c>
      <c r="G39" s="179">
        <f t="shared" si="0"/>
        <v>3383810.5300000003</v>
      </c>
      <c r="I39" s="4"/>
      <c r="J39" s="4"/>
      <c r="K39" s="4"/>
      <c r="L39" s="4"/>
      <c r="M39" s="4"/>
      <c r="N39" s="4"/>
      <c r="O39" s="4"/>
      <c r="P39" s="4"/>
    </row>
    <row r="40" spans="1:58" ht="19.5" hidden="1" customHeight="1">
      <c r="A40" s="182">
        <v>41426</v>
      </c>
      <c r="B40" s="91">
        <v>1478302.6</v>
      </c>
      <c r="C40" s="92">
        <v>1047079.97</v>
      </c>
      <c r="D40" s="91">
        <v>38603.54</v>
      </c>
      <c r="E40" s="92">
        <v>206839.73</v>
      </c>
      <c r="F40" s="91">
        <v>613372.93000000005</v>
      </c>
      <c r="G40" s="179">
        <f t="shared" si="0"/>
        <v>3384198.7700000005</v>
      </c>
      <c r="I40" s="4"/>
      <c r="J40" s="4"/>
      <c r="K40" s="4"/>
      <c r="L40" s="4"/>
      <c r="M40" s="4"/>
      <c r="N40" s="4"/>
      <c r="O40" s="4"/>
      <c r="P40" s="4"/>
    </row>
    <row r="41" spans="1:58" ht="19.5" hidden="1" customHeight="1">
      <c r="A41" s="182">
        <v>41456</v>
      </c>
      <c r="B41" s="91">
        <v>1475571.21</v>
      </c>
      <c r="C41" s="92">
        <v>1043552.01</v>
      </c>
      <c r="D41" s="91">
        <v>38578.959999999999</v>
      </c>
      <c r="E41" s="92">
        <v>204215.73</v>
      </c>
      <c r="F41" s="91">
        <v>608980.73</v>
      </c>
      <c r="G41" s="179">
        <f t="shared" si="0"/>
        <v>3370898.6399999997</v>
      </c>
      <c r="I41" s="4"/>
      <c r="J41" s="4"/>
      <c r="K41" s="4"/>
      <c r="L41" s="4"/>
      <c r="M41" s="4"/>
      <c r="N41" s="4"/>
      <c r="O41" s="4"/>
      <c r="P41" s="4"/>
    </row>
    <row r="42" spans="1:58" ht="19.5" hidden="1" customHeight="1">
      <c r="A42" s="182">
        <v>41487</v>
      </c>
      <c r="B42" s="91">
        <v>1472297.1</v>
      </c>
      <c r="C42" s="92">
        <v>1042152.17</v>
      </c>
      <c r="D42" s="91">
        <v>38118.49</v>
      </c>
      <c r="E42" s="92">
        <v>224107.2</v>
      </c>
      <c r="F42" s="91">
        <v>606968.04</v>
      </c>
      <c r="G42" s="305">
        <f t="shared" si="0"/>
        <v>3383643.0000000005</v>
      </c>
      <c r="I42" s="4"/>
      <c r="J42" s="4"/>
      <c r="K42" s="4"/>
      <c r="L42" s="4"/>
      <c r="M42" s="4"/>
      <c r="N42" s="4"/>
      <c r="O42" s="4"/>
      <c r="P42" s="4"/>
      <c r="BF42" s="104">
        <v>0</v>
      </c>
    </row>
    <row r="43" spans="1:58" ht="19.5" hidden="1" customHeight="1">
      <c r="A43" s="182">
        <v>41518</v>
      </c>
      <c r="B43" s="91">
        <v>1467893.14</v>
      </c>
      <c r="C43" s="92">
        <v>1038696.71</v>
      </c>
      <c r="D43" s="91">
        <v>37855.589999999997</v>
      </c>
      <c r="E43" s="92">
        <v>223170.22</v>
      </c>
      <c r="F43" s="91">
        <v>601770.05000000005</v>
      </c>
      <c r="G43" s="305">
        <f t="shared" si="0"/>
        <v>3369385.71</v>
      </c>
      <c r="I43" s="4"/>
      <c r="J43" s="4"/>
      <c r="K43" s="4"/>
      <c r="L43" s="4"/>
      <c r="M43" s="4"/>
      <c r="N43" s="4"/>
      <c r="O43" s="4"/>
      <c r="P43" s="4"/>
      <c r="BF43" s="104"/>
    </row>
    <row r="44" spans="1:58" ht="19.5" hidden="1" customHeight="1">
      <c r="A44" s="182">
        <v>41548</v>
      </c>
      <c r="B44" s="91">
        <v>1476630.13</v>
      </c>
      <c r="C44" s="92">
        <v>1044167.83</v>
      </c>
      <c r="D44" s="91">
        <v>37908.65</v>
      </c>
      <c r="E44" s="92">
        <v>224950.34</v>
      </c>
      <c r="F44" s="91">
        <v>602326.14</v>
      </c>
      <c r="G44" s="305">
        <f t="shared" si="0"/>
        <v>3385983.09</v>
      </c>
      <c r="H44" s="71"/>
      <c r="I44" s="4"/>
      <c r="J44" s="4"/>
      <c r="K44" s="4"/>
      <c r="L44" s="4"/>
      <c r="M44" s="4"/>
      <c r="N44" s="4"/>
      <c r="O44" s="4"/>
      <c r="P44" s="4"/>
      <c r="BF44" s="104"/>
    </row>
    <row r="45" spans="1:58" ht="19.5" hidden="1" customHeight="1">
      <c r="A45" s="182">
        <v>41579</v>
      </c>
      <c r="B45" s="91">
        <v>1484684.96</v>
      </c>
      <c r="C45" s="92">
        <v>1048615.99</v>
      </c>
      <c r="D45" s="91">
        <v>37638.99</v>
      </c>
      <c r="E45" s="92">
        <v>226390.19</v>
      </c>
      <c r="F45" s="91">
        <v>602544</v>
      </c>
      <c r="G45" s="305">
        <f t="shared" si="0"/>
        <v>3399874.1300000004</v>
      </c>
      <c r="H45" s="71"/>
      <c r="I45" s="4"/>
      <c r="J45" s="4"/>
      <c r="K45" s="4"/>
      <c r="L45" s="4"/>
      <c r="M45" s="4"/>
      <c r="N45" s="4"/>
      <c r="O45" s="4"/>
      <c r="P45" s="4"/>
      <c r="BF45" s="104"/>
    </row>
    <row r="46" spans="1:58" ht="19.5" hidden="1" customHeight="1">
      <c r="A46" s="182">
        <v>41609</v>
      </c>
      <c r="B46" s="91">
        <v>1494570.22</v>
      </c>
      <c r="C46" s="92">
        <v>1055709.3899999999</v>
      </c>
      <c r="D46" s="91">
        <v>37057.31</v>
      </c>
      <c r="E46" s="92">
        <v>228696.58</v>
      </c>
      <c r="F46" s="91">
        <v>606866.74</v>
      </c>
      <c r="G46" s="305">
        <f t="shared" si="0"/>
        <v>3422900.24</v>
      </c>
      <c r="H46" s="71"/>
      <c r="I46" s="4"/>
      <c r="J46" s="4"/>
      <c r="K46" s="4"/>
      <c r="L46" s="4"/>
      <c r="M46" s="4"/>
      <c r="N46" s="4"/>
      <c r="O46" s="4"/>
      <c r="P46" s="4"/>
      <c r="BF46" s="104"/>
    </row>
    <row r="47" spans="1:58" ht="19.5" hidden="1" customHeight="1">
      <c r="A47" s="182">
        <v>41640</v>
      </c>
      <c r="B47" s="91">
        <v>1491052.2799999998</v>
      </c>
      <c r="C47" s="92">
        <v>1060059.79</v>
      </c>
      <c r="D47" s="91">
        <v>36301.31</v>
      </c>
      <c r="E47" s="92">
        <v>258390.8</v>
      </c>
      <c r="F47" s="91">
        <v>611295.75</v>
      </c>
      <c r="G47" s="305">
        <f t="shared" si="0"/>
        <v>3457099.9299999997</v>
      </c>
      <c r="H47" s="71"/>
      <c r="I47" s="4"/>
      <c r="J47" s="4"/>
      <c r="K47" s="4"/>
      <c r="L47" s="4"/>
      <c r="M47" s="4"/>
      <c r="N47" s="4"/>
      <c r="O47" s="4"/>
      <c r="P47" s="4"/>
      <c r="BF47" s="104"/>
    </row>
    <row r="48" spans="1:58" ht="19.5" hidden="1" customHeight="1">
      <c r="A48" s="182">
        <v>41671</v>
      </c>
      <c r="B48" s="91">
        <v>1498522.5299999998</v>
      </c>
      <c r="C48" s="92">
        <v>1068800.71</v>
      </c>
      <c r="D48" s="91">
        <v>35846.879999999997</v>
      </c>
      <c r="E48" s="92">
        <v>289996.67</v>
      </c>
      <c r="F48" s="91">
        <v>616784.85</v>
      </c>
      <c r="G48" s="305">
        <f t="shared" si="0"/>
        <v>3509951.6399999997</v>
      </c>
      <c r="H48" s="71"/>
      <c r="I48" s="4"/>
      <c r="J48" s="4"/>
      <c r="K48" s="4"/>
      <c r="L48" s="4"/>
      <c r="M48" s="4"/>
      <c r="N48" s="4"/>
      <c r="O48" s="4"/>
      <c r="P48" s="4"/>
      <c r="BF48" s="104"/>
    </row>
    <row r="49" spans="1:58" ht="19.5" hidden="1" customHeight="1">
      <c r="A49" s="182">
        <v>41699</v>
      </c>
      <c r="B49" s="91">
        <v>1528377.5100000002</v>
      </c>
      <c r="C49" s="92">
        <v>1084152.25</v>
      </c>
      <c r="D49" s="91">
        <v>35983.269999999997</v>
      </c>
      <c r="E49" s="92">
        <v>298227.17</v>
      </c>
      <c r="F49" s="91">
        <v>649236.78</v>
      </c>
      <c r="G49" s="305">
        <f t="shared" si="0"/>
        <v>3595976.9800000004</v>
      </c>
      <c r="H49" s="71"/>
      <c r="I49" s="4"/>
      <c r="J49" s="4"/>
      <c r="K49" s="4"/>
      <c r="L49" s="4"/>
      <c r="M49" s="4"/>
      <c r="N49" s="4"/>
      <c r="O49" s="4"/>
      <c r="P49" s="4"/>
      <c r="BF49" s="104"/>
    </row>
    <row r="50" spans="1:58" ht="19.5" hidden="1" customHeight="1">
      <c r="A50" s="182">
        <v>41730</v>
      </c>
      <c r="B50" s="266">
        <v>1543917.3499999999</v>
      </c>
      <c r="C50" s="92">
        <v>1085746.8599999999</v>
      </c>
      <c r="D50" s="91">
        <v>35938.28</v>
      </c>
      <c r="E50" s="92">
        <v>295620.28999999998</v>
      </c>
      <c r="F50" s="267">
        <v>675125.25</v>
      </c>
      <c r="G50" s="305">
        <f t="shared" si="0"/>
        <v>3636348.03</v>
      </c>
      <c r="H50" s="71"/>
      <c r="I50" s="4"/>
      <c r="J50" s="4"/>
      <c r="K50" s="4"/>
      <c r="L50" s="4"/>
      <c r="M50" s="4"/>
      <c r="N50" s="4"/>
      <c r="O50" s="4"/>
      <c r="P50" s="4"/>
      <c r="BF50" s="104"/>
    </row>
    <row r="51" spans="1:58" ht="19.5" hidden="1" customHeight="1">
      <c r="A51" s="182">
        <v>41760</v>
      </c>
      <c r="B51" s="266">
        <v>1598002.0100000002</v>
      </c>
      <c r="C51" s="92">
        <v>1138973.73</v>
      </c>
      <c r="D51" s="91">
        <v>37240.219999999994</v>
      </c>
      <c r="E51" s="92">
        <v>298731.14999999997</v>
      </c>
      <c r="F51" s="267">
        <v>647909.28</v>
      </c>
      <c r="G51" s="305">
        <f t="shared" si="0"/>
        <v>3720856.3900000006</v>
      </c>
      <c r="H51" s="71"/>
      <c r="I51" s="4"/>
      <c r="J51" s="71"/>
      <c r="K51" s="4"/>
      <c r="L51" s="4"/>
      <c r="M51" s="4"/>
      <c r="N51" s="4"/>
      <c r="O51" s="4"/>
      <c r="P51" s="4"/>
      <c r="BF51" s="104"/>
    </row>
    <row r="52" spans="1:58" ht="19.5" hidden="1" customHeight="1">
      <c r="A52" s="182">
        <v>41791</v>
      </c>
      <c r="B52" s="266">
        <v>1633712.05</v>
      </c>
      <c r="C52" s="92">
        <v>1183089.6799999997</v>
      </c>
      <c r="D52" s="91">
        <v>37919.699999999997</v>
      </c>
      <c r="E52" s="92">
        <v>303942.2</v>
      </c>
      <c r="F52" s="267">
        <v>664083.44999999995</v>
      </c>
      <c r="G52" s="305">
        <f t="shared" si="0"/>
        <v>3822747.08</v>
      </c>
      <c r="H52" s="71"/>
      <c r="I52" s="4"/>
      <c r="J52" s="71"/>
      <c r="K52" s="4"/>
      <c r="L52" s="4"/>
      <c r="M52" s="4"/>
      <c r="N52" s="4"/>
      <c r="O52" s="4"/>
      <c r="P52" s="4"/>
      <c r="BF52" s="104"/>
    </row>
    <row r="53" spans="1:58" ht="19.5" hidden="1" customHeight="1">
      <c r="A53" s="182">
        <v>41821</v>
      </c>
      <c r="B53" s="266">
        <v>1669200.9000000001</v>
      </c>
      <c r="C53" s="92">
        <v>1228707.3099999998</v>
      </c>
      <c r="D53" s="91">
        <v>38934.47</v>
      </c>
      <c r="E53" s="92">
        <v>310749.59000000003</v>
      </c>
      <c r="F53" s="267">
        <v>692335.57999999984</v>
      </c>
      <c r="G53" s="305">
        <f t="shared" si="0"/>
        <v>3939927.8499999996</v>
      </c>
      <c r="H53" s="71"/>
      <c r="I53" s="4"/>
      <c r="J53" s="71"/>
      <c r="K53" s="4"/>
      <c r="L53" s="4"/>
      <c r="M53" s="4"/>
      <c r="N53" s="4"/>
      <c r="O53" s="4"/>
      <c r="P53" s="4"/>
      <c r="BF53" s="104"/>
    </row>
    <row r="54" spans="1:58" hidden="1">
      <c r="A54" s="182">
        <v>41852</v>
      </c>
      <c r="B54" s="266">
        <v>1697038.55</v>
      </c>
      <c r="C54" s="92">
        <v>1265175.1199999999</v>
      </c>
      <c r="D54" s="91">
        <v>40595.51</v>
      </c>
      <c r="E54" s="92">
        <v>315468.08999999997</v>
      </c>
      <c r="F54" s="267">
        <v>716012.49999999988</v>
      </c>
      <c r="G54" s="305">
        <f t="shared" si="0"/>
        <v>4034289.7699999996</v>
      </c>
      <c r="H54" s="71"/>
      <c r="I54" s="4"/>
      <c r="J54" s="71"/>
      <c r="K54" s="4"/>
      <c r="L54" s="4"/>
      <c r="M54" s="4"/>
      <c r="N54" s="4"/>
      <c r="O54" s="4"/>
      <c r="P54" s="4"/>
      <c r="BF54" s="104"/>
    </row>
    <row r="55" spans="1:58" hidden="1">
      <c r="A55" s="182">
        <v>41883</v>
      </c>
      <c r="B55" s="266">
        <v>1718415.6300000004</v>
      </c>
      <c r="C55" s="92">
        <v>1295370.8899999999</v>
      </c>
      <c r="D55" s="91">
        <v>41314.58</v>
      </c>
      <c r="E55" s="92">
        <v>340956.49999999994</v>
      </c>
      <c r="F55" s="267">
        <v>738579.56999999983</v>
      </c>
      <c r="G55" s="305">
        <f t="shared" si="0"/>
        <v>4134637.1700000004</v>
      </c>
      <c r="H55" s="71"/>
      <c r="I55" s="4"/>
      <c r="J55" s="71"/>
      <c r="K55" s="4"/>
      <c r="L55" s="4"/>
      <c r="M55" s="4"/>
      <c r="N55" s="4"/>
      <c r="O55" s="4"/>
      <c r="P55" s="4"/>
      <c r="BF55" s="104"/>
    </row>
    <row r="56" spans="1:58" hidden="1">
      <c r="A56" s="182">
        <v>41913</v>
      </c>
      <c r="B56" s="266">
        <v>1740658.24</v>
      </c>
      <c r="C56" s="92">
        <v>1326807.96</v>
      </c>
      <c r="D56" s="91">
        <v>41984.119999999995</v>
      </c>
      <c r="E56" s="92">
        <v>366841.16999999993</v>
      </c>
      <c r="F56" s="267">
        <v>762410.1100000001</v>
      </c>
      <c r="G56" s="305">
        <f t="shared" si="0"/>
        <v>4238701.6000000006</v>
      </c>
      <c r="H56" s="71"/>
      <c r="I56" s="4"/>
      <c r="J56" s="71"/>
      <c r="K56" s="4"/>
      <c r="L56" s="4"/>
      <c r="M56" s="4"/>
      <c r="N56" s="4"/>
      <c r="O56" s="4"/>
      <c r="P56" s="4"/>
      <c r="BF56" s="104"/>
    </row>
    <row r="57" spans="1:58" hidden="1">
      <c r="A57" s="182">
        <v>41944</v>
      </c>
      <c r="B57" s="266">
        <v>1758151.17</v>
      </c>
      <c r="C57" s="92">
        <v>1359823.4300000002</v>
      </c>
      <c r="D57" s="91">
        <v>42441.71</v>
      </c>
      <c r="E57" s="92">
        <v>393926.74999999994</v>
      </c>
      <c r="F57" s="267">
        <v>786961.8899999999</v>
      </c>
      <c r="G57" s="305">
        <f t="shared" si="0"/>
        <v>4341304.95</v>
      </c>
      <c r="H57" s="71"/>
      <c r="I57" s="4"/>
      <c r="J57" s="71"/>
      <c r="K57" s="4"/>
      <c r="L57" s="4"/>
      <c r="M57" s="4"/>
      <c r="N57" s="4"/>
      <c r="O57" s="4"/>
      <c r="P57" s="4"/>
      <c r="BF57" s="104"/>
    </row>
    <row r="58" spans="1:58" hidden="1">
      <c r="A58" s="182">
        <v>41974</v>
      </c>
      <c r="B58" s="266">
        <v>1787607.29</v>
      </c>
      <c r="C58" s="92">
        <v>1399313.7</v>
      </c>
      <c r="D58" s="91">
        <v>42823.91</v>
      </c>
      <c r="E58" s="92">
        <v>360319.67</v>
      </c>
      <c r="F58" s="267">
        <v>814165.40999999992</v>
      </c>
      <c r="G58" s="305">
        <f>SUM(B58:F58)</f>
        <v>4404229.9800000004</v>
      </c>
      <c r="H58" s="71"/>
      <c r="I58" s="4"/>
      <c r="J58" s="71"/>
      <c r="K58" s="4"/>
      <c r="L58" s="4"/>
      <c r="M58" s="4"/>
      <c r="N58" s="4"/>
      <c r="O58" s="4"/>
      <c r="P58" s="4"/>
      <c r="BF58" s="104"/>
    </row>
    <row r="59" spans="1:58" hidden="1">
      <c r="A59" s="182">
        <v>42005</v>
      </c>
      <c r="B59" s="266">
        <v>1807927.1900000004</v>
      </c>
      <c r="C59" s="92">
        <v>1432224.11</v>
      </c>
      <c r="D59" s="91">
        <v>43441.72</v>
      </c>
      <c r="E59" s="92">
        <v>362996.02000000008</v>
      </c>
      <c r="F59" s="267">
        <v>837976.41999999993</v>
      </c>
      <c r="G59" s="305">
        <f>SUM(B59:F59)</f>
        <v>4484565.4600000009</v>
      </c>
      <c r="H59" s="71"/>
      <c r="I59" s="4"/>
      <c r="J59" s="71"/>
      <c r="K59" s="4"/>
      <c r="L59" s="4"/>
      <c r="M59" s="4"/>
      <c r="N59" s="4"/>
      <c r="O59" s="4"/>
      <c r="P59" s="4"/>
      <c r="BF59" s="104"/>
    </row>
    <row r="60" spans="1:58" hidden="1">
      <c r="A60" s="182">
        <v>42036</v>
      </c>
      <c r="B60" s="266">
        <v>1815147.9800000002</v>
      </c>
      <c r="C60" s="92">
        <v>1455308.39</v>
      </c>
      <c r="D60" s="91">
        <v>43585.540000000008</v>
      </c>
      <c r="E60" s="92">
        <v>362734.16000000009</v>
      </c>
      <c r="F60" s="267">
        <v>852759.80999999994</v>
      </c>
      <c r="G60" s="305">
        <f>SUM(B60:F60)</f>
        <v>4529535.88</v>
      </c>
      <c r="H60" s="71"/>
      <c r="I60" s="4"/>
      <c r="J60" s="71"/>
      <c r="K60" s="4"/>
      <c r="L60" s="4"/>
      <c r="M60" s="4"/>
      <c r="N60" s="4"/>
      <c r="O60" s="4"/>
      <c r="P60" s="4"/>
      <c r="BF60" s="104"/>
    </row>
    <row r="61" spans="1:58" hidden="1">
      <c r="A61" s="182">
        <v>42064</v>
      </c>
      <c r="B61" s="266">
        <v>1828076.9900000002</v>
      </c>
      <c r="C61" s="92">
        <v>1491300.02</v>
      </c>
      <c r="D61" s="91">
        <v>43961.500000000007</v>
      </c>
      <c r="E61" s="92">
        <v>359816.13</v>
      </c>
      <c r="F61" s="267">
        <v>832372.33000000007</v>
      </c>
      <c r="G61" s="305">
        <f>SUM(B61:F61)</f>
        <v>4555526.9700000007</v>
      </c>
      <c r="H61" s="71"/>
      <c r="I61" s="4"/>
      <c r="J61" s="71"/>
      <c r="K61" s="4"/>
      <c r="L61" s="4"/>
      <c r="M61" s="4"/>
      <c r="N61" s="4"/>
      <c r="O61" s="4"/>
      <c r="P61" s="4"/>
      <c r="BF61" s="104"/>
    </row>
    <row r="62" spans="1:58" hidden="1">
      <c r="A62" s="182">
        <v>42095</v>
      </c>
      <c r="B62" s="266">
        <v>1846712.27</v>
      </c>
      <c r="C62" s="92">
        <v>1534137.6</v>
      </c>
      <c r="D62" s="91">
        <v>44679.810000000005</v>
      </c>
      <c r="E62" s="92">
        <v>360773.86</v>
      </c>
      <c r="F62" s="267">
        <v>836909.63</v>
      </c>
      <c r="G62" s="305">
        <f t="shared" ref="G62:G78" si="1">SUM(B62:F62)</f>
        <v>4623213.17</v>
      </c>
      <c r="H62" s="71"/>
      <c r="I62" s="4"/>
      <c r="J62" s="71"/>
      <c r="K62" s="4"/>
      <c r="L62" s="4"/>
      <c r="M62" s="4"/>
      <c r="N62" s="4"/>
      <c r="O62" s="4"/>
      <c r="P62" s="4"/>
      <c r="BF62" s="104"/>
    </row>
    <row r="63" spans="1:58" hidden="1">
      <c r="A63" s="182">
        <v>42125</v>
      </c>
      <c r="B63" s="266">
        <v>1854390.4200000002</v>
      </c>
      <c r="C63" s="92">
        <v>1540472.47</v>
      </c>
      <c r="D63" s="91">
        <v>44017.689999999995</v>
      </c>
      <c r="E63" s="92">
        <v>368506.38</v>
      </c>
      <c r="F63" s="267">
        <v>907201.3</v>
      </c>
      <c r="G63" s="305">
        <f t="shared" si="1"/>
        <v>4714588.26</v>
      </c>
      <c r="H63" s="71"/>
      <c r="I63" s="4"/>
      <c r="J63" s="71"/>
      <c r="K63" s="4"/>
      <c r="L63" s="4"/>
      <c r="M63" s="4"/>
      <c r="N63" s="4"/>
      <c r="O63" s="4"/>
      <c r="P63" s="4"/>
      <c r="BF63" s="104"/>
    </row>
    <row r="64" spans="1:58" hidden="1">
      <c r="A64" s="182">
        <v>42156</v>
      </c>
      <c r="B64" s="266">
        <v>1873089.7399999998</v>
      </c>
      <c r="C64" s="92">
        <v>1548801.46</v>
      </c>
      <c r="D64" s="91">
        <v>43725.990000000005</v>
      </c>
      <c r="E64" s="92">
        <v>374410.11000000004</v>
      </c>
      <c r="F64" s="267">
        <v>932063.35</v>
      </c>
      <c r="G64" s="305">
        <f t="shared" si="1"/>
        <v>4772090.6499999994</v>
      </c>
      <c r="H64" s="71"/>
      <c r="I64" s="4"/>
      <c r="J64" s="71"/>
      <c r="K64" s="4"/>
      <c r="L64" s="4"/>
      <c r="M64" s="4"/>
      <c r="N64" s="4"/>
      <c r="O64" s="4"/>
      <c r="P64" s="4"/>
      <c r="BF64" s="104"/>
    </row>
    <row r="65" spans="1:58" hidden="1">
      <c r="A65" s="182">
        <v>42186</v>
      </c>
      <c r="B65" s="266">
        <v>1890203.8699999999</v>
      </c>
      <c r="C65" s="92">
        <v>1572931.5799999998</v>
      </c>
      <c r="D65" s="91">
        <v>43246.049999999996</v>
      </c>
      <c r="E65" s="92">
        <v>379443.9200000001</v>
      </c>
      <c r="F65" s="267">
        <v>952140.95</v>
      </c>
      <c r="G65" s="305">
        <f t="shared" si="1"/>
        <v>4837966.3699999992</v>
      </c>
      <c r="H65" s="71"/>
      <c r="I65" s="4"/>
      <c r="J65" s="4"/>
      <c r="K65" s="4"/>
      <c r="L65" s="4"/>
      <c r="M65" s="4"/>
      <c r="N65" s="4"/>
      <c r="O65" s="4"/>
      <c r="P65" s="4"/>
      <c r="BF65" s="104"/>
    </row>
    <row r="66" spans="1:58" hidden="1">
      <c r="A66" s="182">
        <v>42217</v>
      </c>
      <c r="B66" s="266">
        <v>1897395.0300000003</v>
      </c>
      <c r="C66" s="92">
        <v>1591872.62</v>
      </c>
      <c r="D66" s="91">
        <v>42677.62</v>
      </c>
      <c r="E66" s="92">
        <v>382686.57</v>
      </c>
      <c r="F66" s="267">
        <v>966621.97</v>
      </c>
      <c r="G66" s="305">
        <f t="shared" si="1"/>
        <v>4881253.8100000005</v>
      </c>
      <c r="H66" s="71"/>
      <c r="I66" s="4"/>
      <c r="J66" s="4"/>
      <c r="K66" s="4"/>
      <c r="L66" s="4"/>
      <c r="M66" s="4"/>
      <c r="N66" s="4"/>
      <c r="O66" s="4"/>
      <c r="P66" s="4"/>
      <c r="BF66" s="104"/>
    </row>
    <row r="67" spans="1:58" hidden="1">
      <c r="A67" s="182">
        <v>42248</v>
      </c>
      <c r="B67" s="266">
        <v>1907604.86</v>
      </c>
      <c r="C67" s="92">
        <v>1613090.8</v>
      </c>
      <c r="D67" s="91">
        <v>42690.399999999994</v>
      </c>
      <c r="E67" s="92">
        <v>386647.06</v>
      </c>
      <c r="F67" s="267">
        <v>982841</v>
      </c>
      <c r="G67" s="305">
        <f>SUM(B67:F67)</f>
        <v>4932874.12</v>
      </c>
      <c r="H67" s="71"/>
      <c r="I67" s="4"/>
      <c r="J67" s="4"/>
      <c r="K67" s="4"/>
      <c r="L67" s="4"/>
      <c r="M67" s="4"/>
      <c r="N67" s="4"/>
      <c r="O67" s="4"/>
      <c r="P67" s="4"/>
      <c r="BF67" s="104"/>
    </row>
    <row r="68" spans="1:58" hidden="1">
      <c r="A68" s="182">
        <v>42278</v>
      </c>
      <c r="B68" s="770">
        <v>1923111.11</v>
      </c>
      <c r="C68" s="435">
        <v>1635591.0699999998</v>
      </c>
      <c r="D68" s="436">
        <v>42528.909999999996</v>
      </c>
      <c r="E68" s="435">
        <v>390843.85000000003</v>
      </c>
      <c r="F68" s="771">
        <v>994711.14999999991</v>
      </c>
      <c r="G68" s="772">
        <f>SUM(B68:F68)</f>
        <v>4986786.09</v>
      </c>
      <c r="H68" s="71"/>
      <c r="I68" s="4"/>
      <c r="J68" s="4"/>
      <c r="K68" s="4"/>
      <c r="L68" s="4"/>
      <c r="M68" s="4"/>
      <c r="N68" s="4"/>
      <c r="O68" s="4"/>
      <c r="P68" s="4"/>
      <c r="BF68" s="104"/>
    </row>
    <row r="69" spans="1:58" hidden="1">
      <c r="A69" s="182">
        <v>42309</v>
      </c>
      <c r="B69" s="770">
        <v>1932588.3899999997</v>
      </c>
      <c r="C69" s="435">
        <v>1645902.7699999998</v>
      </c>
      <c r="D69" s="436">
        <v>42295.74</v>
      </c>
      <c r="E69" s="435">
        <v>392935.53</v>
      </c>
      <c r="F69" s="771">
        <v>999740.23</v>
      </c>
      <c r="G69" s="772">
        <f>SUM(B69:F69)</f>
        <v>5013462.66</v>
      </c>
      <c r="H69" s="71"/>
      <c r="I69" s="4"/>
      <c r="J69" s="4"/>
      <c r="K69" s="4"/>
      <c r="L69" s="4"/>
      <c r="M69" s="4"/>
      <c r="N69" s="4"/>
      <c r="O69" s="4"/>
      <c r="P69" s="4"/>
      <c r="BF69" s="104"/>
    </row>
    <row r="70" spans="1:58" hidden="1">
      <c r="A70" s="182">
        <v>42339</v>
      </c>
      <c r="B70" s="770">
        <v>1952093.7299999997</v>
      </c>
      <c r="C70" s="435">
        <v>1670538.0199999996</v>
      </c>
      <c r="D70" s="436">
        <v>42521.72</v>
      </c>
      <c r="E70" s="435">
        <v>397503.30000000005</v>
      </c>
      <c r="F70" s="771">
        <v>1012260.46</v>
      </c>
      <c r="G70" s="772">
        <f t="shared" si="1"/>
        <v>5074917.2299999995</v>
      </c>
      <c r="H70" s="71"/>
      <c r="I70" s="4"/>
      <c r="J70" s="4"/>
      <c r="K70" s="4"/>
      <c r="L70" s="4"/>
      <c r="M70" s="4"/>
      <c r="N70" s="4"/>
      <c r="O70" s="4"/>
      <c r="P70" s="4"/>
      <c r="BF70" s="104"/>
    </row>
    <row r="71" spans="1:58" hidden="1">
      <c r="A71" s="182">
        <v>42370</v>
      </c>
      <c r="B71" s="770">
        <v>1966929.3799999997</v>
      </c>
      <c r="C71" s="435">
        <v>1689725.6899999997</v>
      </c>
      <c r="D71" s="436">
        <v>41993.51</v>
      </c>
      <c r="E71" s="435">
        <v>400142.68000000005</v>
      </c>
      <c r="F71" s="771">
        <v>1011882.46</v>
      </c>
      <c r="G71" s="772">
        <f t="shared" si="1"/>
        <v>5110673.7199999988</v>
      </c>
      <c r="H71" s="71"/>
      <c r="I71" s="4"/>
      <c r="J71" s="4"/>
      <c r="K71" s="4"/>
      <c r="L71" s="4"/>
      <c r="M71" s="4"/>
      <c r="N71" s="4"/>
      <c r="O71" s="4"/>
      <c r="P71" s="4"/>
      <c r="BF71" s="104"/>
    </row>
    <row r="72" spans="1:58" hidden="1">
      <c r="A72" s="182">
        <v>42401</v>
      </c>
      <c r="B72" s="770">
        <v>1996703.51</v>
      </c>
      <c r="C72" s="435">
        <v>1727869.7199999995</v>
      </c>
      <c r="D72" s="436">
        <v>42458.06</v>
      </c>
      <c r="E72" s="435">
        <v>406492.36000000004</v>
      </c>
      <c r="F72" s="771">
        <v>1021099.51</v>
      </c>
      <c r="G72" s="772">
        <f t="shared" si="1"/>
        <v>5194623.1599999992</v>
      </c>
      <c r="H72" s="71"/>
      <c r="I72" s="4"/>
      <c r="J72" s="4"/>
      <c r="K72" s="4"/>
      <c r="L72" s="4"/>
      <c r="M72" s="4"/>
      <c r="N72" s="4"/>
      <c r="O72" s="4"/>
      <c r="P72" s="4"/>
      <c r="BF72" s="104"/>
    </row>
    <row r="73" spans="1:58" hidden="1">
      <c r="A73" s="182">
        <v>42430</v>
      </c>
      <c r="B73" s="770">
        <v>2007181.35</v>
      </c>
      <c r="C73" s="435">
        <v>1750846.38</v>
      </c>
      <c r="D73" s="436">
        <v>42723.430000000008</v>
      </c>
      <c r="E73" s="435">
        <v>410978.98</v>
      </c>
      <c r="F73" s="771">
        <v>1039698.4500000001</v>
      </c>
      <c r="G73" s="772">
        <f t="shared" si="1"/>
        <v>5251428.5900000008</v>
      </c>
      <c r="H73" s="71"/>
      <c r="I73" s="4"/>
      <c r="J73" s="4"/>
      <c r="K73" s="4"/>
      <c r="L73" s="4"/>
      <c r="M73" s="4"/>
      <c r="N73" s="4"/>
      <c r="O73" s="4"/>
      <c r="P73" s="4"/>
      <c r="BF73" s="104"/>
    </row>
    <row r="74" spans="1:58" hidden="1">
      <c r="A74" s="182">
        <v>42461</v>
      </c>
      <c r="B74" s="770">
        <v>2020972.75</v>
      </c>
      <c r="C74" s="435">
        <v>1777272.1999999997</v>
      </c>
      <c r="D74" s="436">
        <v>42648.54</v>
      </c>
      <c r="E74" s="435">
        <v>414714.83999999997</v>
      </c>
      <c r="F74" s="771">
        <v>1045759.8099999999</v>
      </c>
      <c r="G74" s="772">
        <f t="shared" si="1"/>
        <v>5301368.1399999997</v>
      </c>
      <c r="H74" s="71"/>
      <c r="I74" s="4"/>
      <c r="J74" s="4"/>
      <c r="K74" s="4"/>
      <c r="L74" s="4"/>
      <c r="M74" s="4"/>
      <c r="N74" s="4"/>
      <c r="O74" s="4"/>
      <c r="P74" s="4"/>
      <c r="BF74" s="104"/>
    </row>
    <row r="75" spans="1:58" hidden="1">
      <c r="A75" s="182">
        <v>42491</v>
      </c>
      <c r="B75" s="770">
        <v>2000640.58</v>
      </c>
      <c r="C75" s="435">
        <v>1781913.27</v>
      </c>
      <c r="D75" s="436">
        <v>43183.270000000004</v>
      </c>
      <c r="E75" s="435">
        <v>412174.6</v>
      </c>
      <c r="F75" s="771">
        <v>1033914.67</v>
      </c>
      <c r="G75" s="772">
        <f t="shared" si="1"/>
        <v>5271826.3899999997</v>
      </c>
      <c r="H75" s="71"/>
      <c r="I75" s="4"/>
      <c r="J75" s="4"/>
      <c r="K75" s="4"/>
      <c r="L75" s="4"/>
      <c r="M75" s="4"/>
      <c r="N75" s="4"/>
      <c r="O75" s="4"/>
      <c r="P75" s="4"/>
      <c r="BF75" s="104"/>
    </row>
    <row r="76" spans="1:58" hidden="1">
      <c r="A76" s="182">
        <v>42522</v>
      </c>
      <c r="B76" s="770">
        <v>1983402.8000000003</v>
      </c>
      <c r="C76" s="435">
        <v>1792012.6800000004</v>
      </c>
      <c r="D76" s="436">
        <v>44073.760000000002</v>
      </c>
      <c r="E76" s="435">
        <v>408896.91</v>
      </c>
      <c r="F76" s="771">
        <v>1023031.37</v>
      </c>
      <c r="G76" s="772">
        <f t="shared" si="1"/>
        <v>5251417.5200000005</v>
      </c>
      <c r="H76" s="71"/>
      <c r="I76" s="4"/>
      <c r="J76" s="4"/>
      <c r="K76" s="4"/>
      <c r="L76" s="4"/>
      <c r="M76" s="4"/>
      <c r="N76" s="4"/>
      <c r="O76" s="4"/>
      <c r="P76" s="4"/>
      <c r="BF76" s="104"/>
    </row>
    <row r="77" spans="1:58" hidden="1">
      <c r="A77" s="182">
        <v>42552</v>
      </c>
      <c r="B77" s="770">
        <v>1960412.57</v>
      </c>
      <c r="C77" s="435">
        <v>1780282.4300000002</v>
      </c>
      <c r="D77" s="436">
        <v>44577.61</v>
      </c>
      <c r="E77" s="435">
        <v>374275.99999999994</v>
      </c>
      <c r="F77" s="771">
        <v>1009745.2499999999</v>
      </c>
      <c r="G77" s="772">
        <f t="shared" si="1"/>
        <v>5169293.8599999994</v>
      </c>
      <c r="H77" s="71"/>
      <c r="I77" s="4"/>
      <c r="J77" s="4"/>
      <c r="K77" s="4"/>
      <c r="L77" s="4"/>
      <c r="M77" s="4"/>
      <c r="N77" s="4"/>
      <c r="O77" s="4"/>
      <c r="P77" s="4"/>
      <c r="BF77" s="104"/>
    </row>
    <row r="78" spans="1:58" hidden="1">
      <c r="A78" s="182">
        <v>42583</v>
      </c>
      <c r="B78" s="770">
        <v>1951054.54</v>
      </c>
      <c r="C78" s="435">
        <v>1786327.7300000002</v>
      </c>
      <c r="D78" s="436">
        <v>45552.59</v>
      </c>
      <c r="E78" s="435">
        <v>373384.66</v>
      </c>
      <c r="F78" s="771">
        <v>1002264.85</v>
      </c>
      <c r="G78" s="772">
        <f t="shared" si="1"/>
        <v>5158584.37</v>
      </c>
      <c r="H78" s="71"/>
      <c r="I78" s="4"/>
      <c r="J78" s="4"/>
      <c r="K78" s="4"/>
      <c r="L78" s="4"/>
      <c r="M78" s="4"/>
      <c r="N78" s="4"/>
      <c r="O78" s="4"/>
      <c r="P78" s="4"/>
      <c r="BF78" s="104"/>
    </row>
    <row r="79" spans="1:58" hidden="1">
      <c r="A79" s="182">
        <v>42614</v>
      </c>
      <c r="B79" s="770">
        <v>1946200.23</v>
      </c>
      <c r="C79" s="435">
        <v>1789777.1800000002</v>
      </c>
      <c r="D79" s="436">
        <v>46626.049999999996</v>
      </c>
      <c r="E79" s="435">
        <v>372427.08</v>
      </c>
      <c r="F79" s="771">
        <v>992620.6</v>
      </c>
      <c r="G79" s="772">
        <f t="shared" ref="G79:G85" si="2">SUM(B79:F79)</f>
        <v>5147651.1399999997</v>
      </c>
      <c r="H79" s="71"/>
      <c r="I79" s="4"/>
      <c r="J79" s="4"/>
      <c r="K79" s="4"/>
      <c r="L79" s="4"/>
      <c r="M79" s="4"/>
      <c r="N79" s="4"/>
      <c r="O79" s="4"/>
      <c r="P79" s="4"/>
      <c r="BF79" s="104"/>
    </row>
    <row r="80" spans="1:58" hidden="1">
      <c r="A80" s="182">
        <v>42644</v>
      </c>
      <c r="B80" s="431">
        <v>1799751.77</v>
      </c>
      <c r="C80" s="431">
        <v>1661324.54</v>
      </c>
      <c r="D80" s="431">
        <v>43331.94999999999</v>
      </c>
      <c r="E80" s="757">
        <v>342345.62</v>
      </c>
      <c r="F80" s="431">
        <v>914708.63</v>
      </c>
      <c r="G80" s="772">
        <f t="shared" si="2"/>
        <v>4761462.5100000007</v>
      </c>
      <c r="H80" s="71"/>
      <c r="I80" s="4"/>
      <c r="J80" s="4"/>
      <c r="K80" s="4"/>
      <c r="L80" s="4"/>
      <c r="M80" s="4"/>
      <c r="N80" s="4"/>
      <c r="O80" s="4"/>
      <c r="P80" s="4"/>
      <c r="BF80" s="104"/>
    </row>
    <row r="81" spans="1:58" hidden="1">
      <c r="A81" s="182">
        <v>42675</v>
      </c>
      <c r="B81" s="431">
        <v>1793786.0799999998</v>
      </c>
      <c r="C81" s="431">
        <v>1668156.7300000002</v>
      </c>
      <c r="D81" s="431">
        <v>44782.41</v>
      </c>
      <c r="E81" s="757">
        <v>341783.7</v>
      </c>
      <c r="F81" s="431">
        <v>909023.19</v>
      </c>
      <c r="G81" s="772">
        <f t="shared" si="2"/>
        <v>4757532.1100000003</v>
      </c>
      <c r="H81" s="71"/>
      <c r="I81" s="4"/>
      <c r="J81" s="4"/>
      <c r="K81" s="4"/>
      <c r="L81" s="4"/>
      <c r="M81" s="4"/>
      <c r="N81" s="4"/>
      <c r="O81" s="4"/>
      <c r="P81" s="4"/>
      <c r="BF81" s="104"/>
    </row>
    <row r="82" spans="1:58" ht="12.75" hidden="1" customHeight="1">
      <c r="A82" s="183">
        <v>42705</v>
      </c>
      <c r="B82" s="432">
        <v>1769990.3199999998</v>
      </c>
      <c r="C82" s="432">
        <v>1520695.1199999999</v>
      </c>
      <c r="D82" s="432">
        <v>41128.020000000004</v>
      </c>
      <c r="E82" s="1016">
        <v>306867.10000000003</v>
      </c>
      <c r="F82" s="432">
        <v>815116.48</v>
      </c>
      <c r="G82" s="1137">
        <f t="shared" si="2"/>
        <v>4453797.0399999991</v>
      </c>
      <c r="H82" s="71"/>
      <c r="I82" s="4"/>
      <c r="J82" s="4"/>
      <c r="K82" s="4"/>
      <c r="L82" s="4"/>
      <c r="M82" s="4"/>
      <c r="N82" s="4"/>
      <c r="O82" s="4"/>
      <c r="P82" s="4"/>
      <c r="BF82" s="104"/>
    </row>
    <row r="83" spans="1:58" ht="12.75" hidden="1" customHeight="1">
      <c r="A83" s="862">
        <v>42736</v>
      </c>
      <c r="B83" s="1282">
        <v>1772085.0299999998</v>
      </c>
      <c r="C83" s="1138">
        <v>1509225.8299999996</v>
      </c>
      <c r="D83" s="1138">
        <v>42654.130000000005</v>
      </c>
      <c r="E83" s="1139">
        <v>271857.15000000002</v>
      </c>
      <c r="F83" s="1138">
        <v>808526.22000000009</v>
      </c>
      <c r="G83" s="1179">
        <f t="shared" si="2"/>
        <v>4404348.3599999994</v>
      </c>
      <c r="H83" s="71"/>
      <c r="I83" s="4"/>
      <c r="J83" s="4"/>
      <c r="K83" s="4"/>
      <c r="L83" s="4"/>
      <c r="M83" s="4"/>
      <c r="N83" s="4"/>
      <c r="O83" s="4"/>
      <c r="P83" s="4"/>
      <c r="BF83" s="104"/>
    </row>
    <row r="84" spans="1:58" ht="12.75" hidden="1" customHeight="1">
      <c r="A84" s="206">
        <v>42767</v>
      </c>
      <c r="B84" s="1106">
        <v>1782999.43</v>
      </c>
      <c r="C84" s="431">
        <v>1509558.9100000001</v>
      </c>
      <c r="D84" s="431">
        <v>43566.25</v>
      </c>
      <c r="E84" s="757">
        <v>234163.46</v>
      </c>
      <c r="F84" s="431">
        <v>811762.65000000014</v>
      </c>
      <c r="G84" s="1180">
        <f t="shared" si="2"/>
        <v>4382050.7</v>
      </c>
      <c r="H84" s="71"/>
      <c r="I84" s="4"/>
      <c r="J84" s="4"/>
      <c r="K84" s="4"/>
      <c r="L84" s="4"/>
      <c r="M84" s="4"/>
      <c r="N84" s="4"/>
      <c r="O84" s="4"/>
      <c r="P84" s="4"/>
      <c r="BF84" s="104"/>
    </row>
    <row r="85" spans="1:58" ht="12.75" hidden="1" customHeight="1">
      <c r="A85" s="206">
        <v>42795</v>
      </c>
      <c r="B85" s="1803">
        <v>1783589.89</v>
      </c>
      <c r="C85" s="432">
        <v>1515288.24</v>
      </c>
      <c r="D85" s="432">
        <v>44324.899999999994</v>
      </c>
      <c r="E85" s="1016">
        <v>194841.35</v>
      </c>
      <c r="F85" s="432">
        <v>822685.84000000008</v>
      </c>
      <c r="G85" s="1794">
        <f t="shared" si="2"/>
        <v>4360730.22</v>
      </c>
      <c r="H85" s="71"/>
      <c r="I85" s="4"/>
      <c r="J85" s="4"/>
      <c r="AZ85" s="104"/>
    </row>
    <row r="86" spans="1:58" ht="12.75" hidden="1" customHeight="1">
      <c r="A86" s="206">
        <v>42826</v>
      </c>
      <c r="B86" s="1795">
        <v>1811441.47</v>
      </c>
      <c r="C86" s="1138">
        <v>1514262.2999999998</v>
      </c>
      <c r="D86" s="1138">
        <v>44920.49</v>
      </c>
      <c r="E86" s="1139">
        <v>154804.78999999998</v>
      </c>
      <c r="F86" s="1138">
        <v>820211.44000000006</v>
      </c>
      <c r="G86" s="1179">
        <f>SUM(B86:F86)</f>
        <v>4345640.49</v>
      </c>
      <c r="H86" s="71"/>
      <c r="I86" s="4"/>
      <c r="J86" s="4"/>
      <c r="K86" s="4"/>
      <c r="L86" s="4"/>
      <c r="M86" s="4"/>
      <c r="N86" s="4"/>
      <c r="O86" s="4"/>
      <c r="P86" s="4"/>
      <c r="BF86" s="104"/>
    </row>
    <row r="87" spans="1:58" ht="12.75" hidden="1" customHeight="1">
      <c r="A87" s="206">
        <v>42856</v>
      </c>
      <c r="B87" s="1109">
        <v>1835489.8499999999</v>
      </c>
      <c r="C87" s="431">
        <v>1561401.38</v>
      </c>
      <c r="D87" s="431">
        <v>45594.549999999996</v>
      </c>
      <c r="E87" s="757">
        <v>375653.71999999991</v>
      </c>
      <c r="F87" s="431">
        <v>840048.44</v>
      </c>
      <c r="G87" s="1180">
        <f>SUM(B87:F87)</f>
        <v>4658187.9399999995</v>
      </c>
      <c r="H87" s="71"/>
      <c r="I87" s="4"/>
      <c r="J87" s="4"/>
      <c r="K87" s="4"/>
      <c r="L87" s="4"/>
      <c r="M87" s="4"/>
      <c r="N87" s="4"/>
      <c r="O87" s="4"/>
      <c r="P87" s="4"/>
      <c r="BF87" s="104"/>
    </row>
    <row r="88" spans="1:58" ht="12.75" hidden="1" customHeight="1">
      <c r="A88" s="206">
        <v>42887</v>
      </c>
      <c r="B88" s="1109">
        <v>1844680.4699999997</v>
      </c>
      <c r="C88" s="431">
        <v>1751533.89</v>
      </c>
      <c r="D88" s="431">
        <v>50644.24</v>
      </c>
      <c r="E88" s="757">
        <v>375393.75999999989</v>
      </c>
      <c r="F88" s="431">
        <v>850564.19</v>
      </c>
      <c r="G88" s="1180">
        <f>SUM(B88:F88)</f>
        <v>4872816.5499999989</v>
      </c>
      <c r="H88" s="71"/>
      <c r="I88" s="4"/>
      <c r="J88" s="4"/>
      <c r="AZ88" s="104"/>
    </row>
    <row r="89" spans="1:58" ht="12.75" hidden="1" customHeight="1">
      <c r="A89" s="206">
        <v>42917</v>
      </c>
      <c r="B89" s="1792">
        <f>'[3]TRA-130 R'!R111</f>
        <v>1852212.44</v>
      </c>
      <c r="C89" s="1140">
        <f>'[3]TRA-130 C'!R111</f>
        <v>1760359.7199999995</v>
      </c>
      <c r="D89" s="1140">
        <f>'[3]TRA-130 I'!R111</f>
        <v>51705.659999999996</v>
      </c>
      <c r="E89" s="757">
        <f>'[3]TRA-130 AP'!R111</f>
        <v>374363.14999999991</v>
      </c>
      <c r="F89" s="1140">
        <f>'[3]TRA-130 0'!R111</f>
        <v>858501.04999999981</v>
      </c>
      <c r="G89" s="1178">
        <f t="shared" ref="G89:G101" si="3">SUM(B89:F89)</f>
        <v>4897142.0199999996</v>
      </c>
      <c r="H89" s="71"/>
      <c r="I89" s="4"/>
      <c r="J89" s="4"/>
      <c r="K89" s="4"/>
      <c r="L89" s="4"/>
      <c r="M89" s="4"/>
      <c r="N89" s="4"/>
      <c r="O89" s="4"/>
      <c r="P89" s="4"/>
      <c r="BF89" s="104"/>
    </row>
    <row r="90" spans="1:58" ht="12.75" hidden="1" customHeight="1">
      <c r="A90" s="206">
        <v>42948</v>
      </c>
      <c r="B90" s="1792">
        <f>'[3]TRA-130 R'!R112</f>
        <v>1857507.97</v>
      </c>
      <c r="C90" s="1140">
        <f>'[3]TRA-130 C'!R112</f>
        <v>1756551.5899999994</v>
      </c>
      <c r="D90" s="1140">
        <f>'[3]TRA-130 I'!R112</f>
        <v>52131.289999999994</v>
      </c>
      <c r="E90" s="757">
        <f>'[3]TRA-130 AP'!R112</f>
        <v>372176.97</v>
      </c>
      <c r="F90" s="1140">
        <f>'[3]TRA-130 0'!R112</f>
        <v>864797.80999999982</v>
      </c>
      <c r="G90" s="1178">
        <f t="shared" si="3"/>
        <v>4903165.629999999</v>
      </c>
      <c r="H90" s="71"/>
      <c r="I90" s="4"/>
      <c r="J90" s="4"/>
      <c r="K90" s="4"/>
      <c r="L90" s="4"/>
      <c r="M90" s="4"/>
      <c r="N90" s="4"/>
      <c r="O90" s="4"/>
      <c r="P90" s="4"/>
      <c r="BF90" s="104"/>
    </row>
    <row r="91" spans="1:58" ht="12.75" hidden="1" customHeight="1">
      <c r="A91" s="206">
        <v>42979</v>
      </c>
      <c r="B91" s="1792">
        <v>1862452.3599999999</v>
      </c>
      <c r="C91" s="1140">
        <v>1756434.6699999997</v>
      </c>
      <c r="D91" s="1140">
        <v>52307.369999999995</v>
      </c>
      <c r="E91" s="757">
        <v>343685.64999999997</v>
      </c>
      <c r="F91" s="1140">
        <v>871966.27999999991</v>
      </c>
      <c r="G91" s="1178">
        <f t="shared" si="3"/>
        <v>4886846.3299999991</v>
      </c>
      <c r="H91" s="71"/>
      <c r="I91" s="4"/>
      <c r="J91" s="4"/>
      <c r="K91" s="4"/>
      <c r="L91" s="4"/>
      <c r="M91" s="4"/>
      <c r="N91" s="4"/>
      <c r="O91" s="4"/>
      <c r="P91" s="4"/>
      <c r="BF91" s="104"/>
    </row>
    <row r="92" spans="1:58" ht="12.75" customHeight="1">
      <c r="A92" s="206">
        <v>43009</v>
      </c>
      <c r="B92" s="1792">
        <v>2004280.17</v>
      </c>
      <c r="C92" s="1140">
        <v>1885350.3199999996</v>
      </c>
      <c r="D92" s="1140">
        <v>56265.909999999996</v>
      </c>
      <c r="E92" s="757">
        <v>343685.64999999997</v>
      </c>
      <c r="F92" s="1140">
        <v>944721.87999999989</v>
      </c>
      <c r="G92" s="1178">
        <f t="shared" si="3"/>
        <v>5234303.93</v>
      </c>
      <c r="H92" s="71"/>
      <c r="I92" s="4"/>
      <c r="J92" s="4"/>
      <c r="K92" s="4"/>
      <c r="L92" s="4"/>
      <c r="M92" s="4"/>
      <c r="N92" s="4"/>
      <c r="O92" s="4"/>
      <c r="P92" s="4"/>
      <c r="BF92" s="104"/>
    </row>
    <row r="93" spans="1:58" ht="12.75" customHeight="1">
      <c r="A93" s="206">
        <v>43040</v>
      </c>
      <c r="B93" s="1792">
        <v>2015913.02</v>
      </c>
      <c r="C93" s="1140">
        <v>1900221.0799999996</v>
      </c>
      <c r="D93" s="1140">
        <v>56235.25</v>
      </c>
      <c r="E93" s="757">
        <v>315070.31</v>
      </c>
      <c r="F93" s="1140">
        <v>945516.28999999992</v>
      </c>
      <c r="G93" s="1178">
        <f t="shared" si="3"/>
        <v>5232955.9499999993</v>
      </c>
      <c r="I93" s="4"/>
      <c r="J93" s="4"/>
      <c r="AZ93" s="104"/>
    </row>
    <row r="94" spans="1:58" ht="12.75" customHeight="1">
      <c r="A94" s="206">
        <v>43070</v>
      </c>
      <c r="B94" s="1792">
        <v>2011929.59</v>
      </c>
      <c r="C94" s="1140">
        <v>1896376.8299999996</v>
      </c>
      <c r="D94" s="1140">
        <v>55584.53</v>
      </c>
      <c r="E94" s="757">
        <v>284140.25999999995</v>
      </c>
      <c r="F94" s="1140">
        <v>937154.07</v>
      </c>
      <c r="G94" s="1178">
        <f t="shared" si="3"/>
        <v>5185185.28</v>
      </c>
      <c r="H94" s="71"/>
      <c r="I94" s="4"/>
      <c r="J94" s="4"/>
      <c r="K94" s="4"/>
      <c r="L94" s="4"/>
      <c r="M94" s="4"/>
      <c r="N94" s="4"/>
      <c r="O94" s="4"/>
      <c r="P94" s="4"/>
      <c r="BF94" s="104"/>
    </row>
    <row r="95" spans="1:58" s="1257" customFormat="1" ht="12.75" customHeight="1">
      <c r="A95" s="206">
        <v>43101</v>
      </c>
      <c r="B95" s="1792">
        <v>2005570.3</v>
      </c>
      <c r="C95" s="1140">
        <v>1899986.2599999995</v>
      </c>
      <c r="D95" s="1140">
        <v>54757.61</v>
      </c>
      <c r="E95" s="757">
        <v>361486.49</v>
      </c>
      <c r="F95" s="1140">
        <v>979909.75</v>
      </c>
      <c r="G95" s="1178">
        <f t="shared" si="3"/>
        <v>5301710.4099999992</v>
      </c>
      <c r="H95" s="71"/>
      <c r="I95" s="1258"/>
      <c r="J95" s="1258"/>
      <c r="K95" s="1258"/>
      <c r="L95" s="1258"/>
      <c r="M95" s="1258"/>
      <c r="N95" s="1258"/>
      <c r="O95" s="1258"/>
      <c r="P95" s="1258"/>
      <c r="BF95" s="104"/>
    </row>
    <row r="96" spans="1:58" s="1257" customFormat="1" ht="12.75" customHeight="1">
      <c r="A96" s="206">
        <v>43132</v>
      </c>
      <c r="B96" s="1792">
        <v>2016103.05</v>
      </c>
      <c r="C96" s="1140">
        <v>1919511.0999999999</v>
      </c>
      <c r="D96" s="1140">
        <v>54053.47</v>
      </c>
      <c r="E96" s="757">
        <v>360611.07999999996</v>
      </c>
      <c r="F96" s="1140">
        <v>960774.83</v>
      </c>
      <c r="G96" s="1178">
        <f t="shared" si="3"/>
        <v>5311053.53</v>
      </c>
      <c r="H96" s="71"/>
      <c r="I96" s="1258"/>
      <c r="J96" s="1258"/>
      <c r="K96" s="1258"/>
      <c r="L96" s="1258"/>
      <c r="M96" s="1258"/>
      <c r="N96" s="1258"/>
      <c r="O96" s="1258"/>
      <c r="P96" s="1258"/>
      <c r="BF96" s="104"/>
    </row>
    <row r="97" spans="1:58" s="1257" customFormat="1" ht="12.75" customHeight="1">
      <c r="A97" s="206">
        <v>43160</v>
      </c>
      <c r="B97" s="1796">
        <v>2013572.3099999998</v>
      </c>
      <c r="C97" s="1340">
        <v>1934376.7899999996</v>
      </c>
      <c r="D97" s="1340">
        <v>53480.820000000007</v>
      </c>
      <c r="E97" s="757">
        <v>358396.3</v>
      </c>
      <c r="F97" s="1340">
        <v>952529.57</v>
      </c>
      <c r="G97" s="1178">
        <f t="shared" si="3"/>
        <v>5312355.79</v>
      </c>
      <c r="H97" s="71"/>
      <c r="I97" s="1258"/>
      <c r="J97" s="1258"/>
      <c r="K97" s="1258"/>
      <c r="L97" s="1258"/>
      <c r="M97" s="1258"/>
      <c r="N97" s="1258"/>
      <c r="O97" s="1258"/>
      <c r="P97" s="1258"/>
      <c r="BF97" s="104"/>
    </row>
    <row r="98" spans="1:58" s="1257" customFormat="1" ht="12.75" customHeight="1">
      <c r="A98" s="206">
        <v>43191</v>
      </c>
      <c r="B98" s="1796">
        <v>1991101.1199999996</v>
      </c>
      <c r="C98" s="1340">
        <v>1938357.7999999998</v>
      </c>
      <c r="D98" s="1340">
        <v>53542.080000000002</v>
      </c>
      <c r="E98" s="757">
        <v>355320.73999999993</v>
      </c>
      <c r="F98" s="1340">
        <v>1042171.82</v>
      </c>
      <c r="G98" s="1178">
        <f t="shared" si="3"/>
        <v>5380493.5599999996</v>
      </c>
      <c r="H98" s="71"/>
      <c r="I98" s="1258"/>
      <c r="J98" s="1258"/>
      <c r="K98" s="1258"/>
      <c r="L98" s="1258"/>
      <c r="M98" s="1258"/>
      <c r="N98" s="1258"/>
      <c r="O98" s="1258"/>
      <c r="P98" s="1258"/>
      <c r="BF98" s="104"/>
    </row>
    <row r="99" spans="1:58" s="1820" customFormat="1" ht="12.75" customHeight="1">
      <c r="A99" s="206">
        <v>43221</v>
      </c>
      <c r="B99" s="1796">
        <v>2010503.8399999999</v>
      </c>
      <c r="C99" s="1340">
        <v>1971216.86</v>
      </c>
      <c r="D99" s="1340">
        <v>53579.24</v>
      </c>
      <c r="E99" s="757">
        <v>358363.75999999995</v>
      </c>
      <c r="F99" s="1340">
        <v>920676.00999999989</v>
      </c>
      <c r="G99" s="1178">
        <f t="shared" si="3"/>
        <v>5314339.71</v>
      </c>
      <c r="H99" s="71"/>
      <c r="I99" s="1830"/>
      <c r="J99" s="1830"/>
      <c r="K99" s="1830"/>
      <c r="L99" s="1830"/>
      <c r="M99" s="1830"/>
      <c r="N99" s="1830"/>
      <c r="O99" s="1830"/>
      <c r="P99" s="1830"/>
      <c r="BF99" s="104"/>
    </row>
    <row r="100" spans="1:58" s="2638" customFormat="1" ht="12.75" customHeight="1">
      <c r="A100" s="206">
        <v>43252</v>
      </c>
      <c r="B100" s="1796">
        <v>2013564.05</v>
      </c>
      <c r="C100" s="1340">
        <v>1989829.37</v>
      </c>
      <c r="D100" s="1340">
        <v>52965.81</v>
      </c>
      <c r="E100" s="2712">
        <v>358683.17</v>
      </c>
      <c r="F100" s="1340">
        <v>899968.12</v>
      </c>
      <c r="G100" s="2704">
        <f t="shared" ref="G100" si="4">SUM(B100:F100)</f>
        <v>5315010.5200000005</v>
      </c>
      <c r="H100" s="2650"/>
      <c r="I100" s="2639"/>
      <c r="J100" s="2639"/>
      <c r="K100" s="2639"/>
      <c r="L100" s="2639"/>
      <c r="M100" s="2639"/>
      <c r="N100" s="2639"/>
      <c r="O100" s="2639"/>
      <c r="P100" s="2639"/>
      <c r="BF100" s="2651"/>
    </row>
    <row r="101" spans="1:58" s="1820" customFormat="1" ht="12.75" customHeight="1">
      <c r="A101" s="206">
        <v>43282</v>
      </c>
      <c r="B101" s="1792">
        <v>2021584.3</v>
      </c>
      <c r="C101" s="1140">
        <v>2012538.99</v>
      </c>
      <c r="D101" s="1140">
        <v>51797.120000000003</v>
      </c>
      <c r="E101" s="2729">
        <v>359653.72</v>
      </c>
      <c r="F101" s="1140">
        <v>875015.96</v>
      </c>
      <c r="G101" s="2704">
        <f t="shared" si="3"/>
        <v>5320590.09</v>
      </c>
      <c r="H101" s="71"/>
      <c r="I101" s="1830"/>
      <c r="J101" s="1830"/>
      <c r="K101" s="1830"/>
      <c r="L101" s="1830"/>
      <c r="M101" s="1830"/>
      <c r="N101" s="1830"/>
      <c r="O101" s="1830"/>
      <c r="P101" s="1830"/>
      <c r="BF101" s="104"/>
    </row>
    <row r="102" spans="1:58" s="2638" customFormat="1" ht="12.75" customHeight="1">
      <c r="A102" s="206">
        <v>43313</v>
      </c>
      <c r="B102" s="1792">
        <v>2039723.6799999997</v>
      </c>
      <c r="C102" s="1140">
        <v>2050166.8199999996</v>
      </c>
      <c r="D102" s="1140">
        <v>50535.96</v>
      </c>
      <c r="E102" s="2729">
        <v>362547.77</v>
      </c>
      <c r="F102" s="1140">
        <v>853458.86999999988</v>
      </c>
      <c r="G102" s="2704">
        <f t="shared" ref="G102:G103" si="5">SUM(B102:F102)</f>
        <v>5356433.0999999987</v>
      </c>
      <c r="H102" s="2650"/>
      <c r="I102" s="2639"/>
      <c r="J102" s="2639"/>
      <c r="K102" s="2639"/>
      <c r="L102" s="2639"/>
      <c r="M102" s="2639"/>
      <c r="N102" s="2639"/>
      <c r="O102" s="2639"/>
      <c r="P102" s="2639"/>
      <c r="BF102" s="2651"/>
    </row>
    <row r="103" spans="1:58" s="2638" customFormat="1" ht="12.75" customHeight="1" thickBot="1">
      <c r="A103" s="206">
        <v>43344</v>
      </c>
      <c r="B103" s="1792">
        <v>2052915</v>
      </c>
      <c r="C103" s="1140">
        <v>2085516</v>
      </c>
      <c r="D103" s="1140">
        <v>50028</v>
      </c>
      <c r="E103" s="2729">
        <v>365251</v>
      </c>
      <c r="F103" s="1140">
        <v>834866.45</v>
      </c>
      <c r="G103" s="2811">
        <f t="shared" si="5"/>
        <v>5388576.4500000002</v>
      </c>
      <c r="H103" s="2650"/>
      <c r="I103" s="2639"/>
      <c r="J103" s="2639"/>
      <c r="K103" s="2639"/>
      <c r="L103" s="2639"/>
      <c r="M103" s="2639"/>
      <c r="N103" s="2639"/>
      <c r="O103" s="2639"/>
      <c r="P103" s="2639"/>
      <c r="BF103" s="2651"/>
    </row>
    <row r="104" spans="1:58" ht="13.5" thickBot="1">
      <c r="A104" s="300" t="s">
        <v>165</v>
      </c>
      <c r="B104" s="1682">
        <f>(B103/B101)-1</f>
        <v>1.5498092263577679E-2</v>
      </c>
      <c r="C104" s="1682">
        <f t="shared" ref="C104:G104" si="6">(C103/C101)-1</f>
        <v>3.6261165802308204E-2</v>
      </c>
      <c r="D104" s="1682">
        <f t="shared" si="6"/>
        <v>-3.4154794706732772E-2</v>
      </c>
      <c r="E104" s="1682">
        <f t="shared" si="6"/>
        <v>1.5562969847774832E-2</v>
      </c>
      <c r="F104" s="1682">
        <f t="shared" si="6"/>
        <v>-4.5884317355765702E-2</v>
      </c>
      <c r="G104" s="1682">
        <f t="shared" si="6"/>
        <v>1.277797365517408E-2</v>
      </c>
      <c r="I104" s="4"/>
      <c r="J104" s="4"/>
      <c r="K104" s="4"/>
      <c r="L104" s="4"/>
      <c r="M104" s="4"/>
      <c r="N104" s="4"/>
      <c r="O104" s="4"/>
      <c r="P104" s="4"/>
    </row>
    <row r="105" spans="1:58" ht="13.5" customHeight="1">
      <c r="A105" s="112"/>
      <c r="B105" s="35"/>
      <c r="C105" s="35"/>
      <c r="D105" s="35"/>
      <c r="E105" s="35"/>
      <c r="F105" s="35"/>
      <c r="G105" s="35"/>
      <c r="I105" s="4"/>
      <c r="J105" s="4"/>
      <c r="K105" s="4"/>
      <c r="L105" s="4"/>
      <c r="M105" s="4"/>
      <c r="N105" s="4"/>
      <c r="O105" s="4"/>
      <c r="P105" s="4"/>
    </row>
    <row r="106" spans="1:58">
      <c r="A106" s="4"/>
      <c r="B106" s="4"/>
      <c r="C106" s="4"/>
      <c r="D106" s="4"/>
      <c r="E106" s="4"/>
      <c r="F106" s="4"/>
      <c r="G106" s="4"/>
      <c r="I106" s="4"/>
      <c r="J106" s="4"/>
      <c r="K106" s="4"/>
      <c r="L106" s="4"/>
      <c r="M106" s="4"/>
      <c r="N106" s="4"/>
      <c r="O106" s="4"/>
      <c r="P106" s="4"/>
    </row>
    <row r="107" spans="1:58">
      <c r="A107" s="4"/>
      <c r="B107" s="4"/>
      <c r="C107" s="4"/>
      <c r="D107" s="4"/>
      <c r="E107" s="4"/>
      <c r="F107" s="4"/>
      <c r="G107" s="4"/>
      <c r="I107" s="4"/>
      <c r="J107" s="4"/>
      <c r="K107" s="4"/>
      <c r="L107" s="4"/>
      <c r="M107" s="4"/>
      <c r="N107" s="4"/>
      <c r="O107" s="4"/>
      <c r="P107" s="4"/>
    </row>
    <row r="108" spans="1:58">
      <c r="A108" s="4"/>
      <c r="B108" s="4"/>
      <c r="C108" s="4"/>
      <c r="D108" s="4"/>
      <c r="E108" s="4"/>
      <c r="F108" s="4"/>
      <c r="G108" s="4"/>
      <c r="I108" s="4"/>
      <c r="J108" s="4"/>
      <c r="K108" s="4"/>
      <c r="L108" s="4"/>
      <c r="M108" s="4"/>
      <c r="N108" s="4"/>
      <c r="O108" s="4"/>
      <c r="P108" s="4"/>
    </row>
    <row r="109" spans="1:58">
      <c r="A109" s="4"/>
      <c r="B109" s="4"/>
      <c r="C109" s="4"/>
      <c r="D109" s="4"/>
      <c r="E109" s="4"/>
      <c r="F109" s="4"/>
      <c r="G109" s="4"/>
      <c r="I109" s="4"/>
      <c r="J109" s="4"/>
      <c r="K109" s="4"/>
      <c r="L109" s="4"/>
      <c r="M109" s="4"/>
      <c r="N109" s="4"/>
      <c r="O109" s="4"/>
      <c r="P109" s="4"/>
    </row>
    <row r="110" spans="1:58">
      <c r="A110" s="4"/>
      <c r="B110" s="4"/>
      <c r="C110" s="4"/>
      <c r="D110" s="4"/>
      <c r="E110" s="4"/>
      <c r="F110" s="4"/>
      <c r="G110" s="4"/>
      <c r="I110" s="4"/>
      <c r="J110" s="4"/>
      <c r="K110" s="4"/>
      <c r="L110" s="4"/>
      <c r="M110" s="4"/>
      <c r="N110" s="4"/>
      <c r="O110" s="4"/>
      <c r="P110" s="4"/>
    </row>
    <row r="111" spans="1:58">
      <c r="A111" s="4"/>
      <c r="B111" s="4"/>
      <c r="C111" s="4"/>
      <c r="D111" s="4"/>
      <c r="E111" s="4"/>
      <c r="F111" s="4"/>
      <c r="G111" s="4"/>
      <c r="I111" s="4"/>
      <c r="J111" s="4"/>
      <c r="K111" s="4"/>
      <c r="L111" s="4"/>
      <c r="M111" s="4"/>
      <c r="N111" s="4"/>
      <c r="O111" s="4"/>
      <c r="P111" s="4"/>
    </row>
    <row r="112" spans="1:58">
      <c r="A112" s="4"/>
      <c r="B112" s="4"/>
      <c r="C112" s="4"/>
      <c r="D112" s="4"/>
      <c r="E112" s="4"/>
      <c r="F112" s="4"/>
      <c r="G112" s="4"/>
      <c r="I112" s="4"/>
      <c r="J112" s="4"/>
      <c r="K112" s="4"/>
      <c r="L112" s="4"/>
      <c r="M112" s="4"/>
      <c r="N112" s="4"/>
      <c r="O112" s="4"/>
      <c r="P112" s="4"/>
    </row>
    <row r="113" spans="1:16">
      <c r="A113" s="4"/>
      <c r="B113" s="4"/>
      <c r="C113" s="4"/>
      <c r="D113" s="4"/>
      <c r="E113" s="4"/>
      <c r="F113" s="4"/>
      <c r="G113" s="4"/>
      <c r="I113" s="4"/>
      <c r="J113" s="4"/>
      <c r="K113" s="4"/>
      <c r="L113" s="4"/>
      <c r="M113" s="4"/>
      <c r="N113" s="4"/>
      <c r="O113" s="4"/>
      <c r="P113" s="4"/>
    </row>
    <row r="114" spans="1:16">
      <c r="A114" s="4"/>
      <c r="B114" s="4"/>
      <c r="C114" s="4"/>
      <c r="D114" s="4"/>
      <c r="E114" s="4"/>
      <c r="F114" s="4"/>
      <c r="G114" s="4"/>
      <c r="I114" s="4"/>
      <c r="J114" s="4"/>
      <c r="K114" s="4"/>
      <c r="L114" s="4"/>
      <c r="M114" s="4"/>
      <c r="N114" s="4"/>
      <c r="O114" s="4"/>
      <c r="P114" s="4"/>
    </row>
    <row r="115" spans="1:16">
      <c r="A115" s="4"/>
      <c r="B115" s="4"/>
      <c r="C115" s="4"/>
      <c r="D115" s="4"/>
      <c r="E115" s="4"/>
      <c r="F115" s="4"/>
      <c r="G115" s="4"/>
      <c r="I115" s="4"/>
      <c r="J115" s="4"/>
      <c r="K115" s="4"/>
      <c r="L115" s="4"/>
      <c r="M115" s="4"/>
      <c r="N115" s="4"/>
      <c r="O115" s="4"/>
      <c r="P115" s="4"/>
    </row>
    <row r="116" spans="1:16">
      <c r="A116" s="4"/>
      <c r="B116" s="4"/>
      <c r="C116" s="4"/>
      <c r="D116" s="4"/>
      <c r="E116" s="4"/>
      <c r="F116" s="4"/>
      <c r="G116" s="4"/>
      <c r="I116" s="4"/>
      <c r="J116" s="4"/>
      <c r="K116" s="4"/>
      <c r="L116" s="4"/>
      <c r="M116" s="4"/>
      <c r="N116" s="4"/>
      <c r="O116" s="4"/>
      <c r="P116" s="4"/>
    </row>
    <row r="117" spans="1:16">
      <c r="A117" s="4"/>
      <c r="B117" s="4"/>
      <c r="C117" s="4"/>
      <c r="D117" s="4"/>
      <c r="E117" s="4"/>
      <c r="F117" s="4"/>
      <c r="G117" s="4"/>
      <c r="I117" s="4"/>
      <c r="J117" s="4"/>
      <c r="K117" s="4"/>
      <c r="L117" s="4"/>
      <c r="M117" s="4"/>
      <c r="N117" s="4"/>
      <c r="O117" s="4"/>
      <c r="P117" s="4"/>
    </row>
    <row r="118" spans="1:16">
      <c r="A118" s="4"/>
      <c r="B118" s="4"/>
      <c r="C118" s="4"/>
      <c r="D118" s="4"/>
      <c r="E118" s="4"/>
      <c r="F118" s="4"/>
      <c r="G118" s="4"/>
      <c r="I118" s="4"/>
      <c r="J118" s="4"/>
      <c r="K118" s="4"/>
      <c r="L118" s="4"/>
      <c r="M118" s="4"/>
      <c r="N118" s="4"/>
      <c r="O118" s="4"/>
      <c r="P118" s="4"/>
    </row>
    <row r="119" spans="1:16">
      <c r="A119" s="4"/>
      <c r="B119" s="4"/>
      <c r="C119" s="4"/>
      <c r="D119" s="4"/>
      <c r="E119" s="4"/>
      <c r="F119" s="4"/>
      <c r="G119" s="4"/>
      <c r="I119" s="4"/>
      <c r="J119" s="4"/>
      <c r="K119" s="4"/>
      <c r="L119" s="4"/>
      <c r="M119" s="4"/>
      <c r="N119" s="4"/>
      <c r="O119" s="4"/>
      <c r="P119" s="4"/>
    </row>
    <row r="120" spans="1:16">
      <c r="A120" s="4"/>
      <c r="B120" s="4"/>
      <c r="C120" s="4"/>
      <c r="D120" s="4"/>
      <c r="E120" s="4"/>
      <c r="F120" s="4"/>
      <c r="G120" s="4"/>
      <c r="I120" s="4"/>
      <c r="J120" s="4"/>
      <c r="K120" s="4"/>
      <c r="L120" s="4"/>
      <c r="M120" s="4"/>
      <c r="N120" s="4"/>
      <c r="O120" s="4"/>
      <c r="P120" s="4"/>
    </row>
    <row r="121" spans="1:16">
      <c r="A121" s="4"/>
      <c r="B121" s="4"/>
      <c r="C121" s="4"/>
      <c r="D121" s="4"/>
      <c r="E121" s="4"/>
      <c r="F121" s="4"/>
      <c r="G121" s="4"/>
    </row>
    <row r="122" spans="1:16">
      <c r="A122" s="4"/>
      <c r="B122" s="4"/>
      <c r="C122" s="4"/>
      <c r="D122" s="4"/>
      <c r="E122" s="4"/>
      <c r="F122" s="4"/>
      <c r="G122" s="4"/>
    </row>
    <row r="123" spans="1:16">
      <c r="A123" s="4"/>
      <c r="B123" s="4"/>
      <c r="C123" s="4"/>
      <c r="D123" s="4"/>
      <c r="E123" s="4"/>
      <c r="F123" s="4"/>
      <c r="G123" s="4"/>
    </row>
    <row r="124" spans="1:16">
      <c r="A124" s="4"/>
      <c r="B124" s="4"/>
      <c r="C124" s="4"/>
      <c r="D124" s="4"/>
      <c r="E124" s="4"/>
      <c r="F124" s="4"/>
      <c r="G124" s="4"/>
    </row>
    <row r="125" spans="1:16">
      <c r="A125" s="4"/>
      <c r="B125" s="4"/>
      <c r="C125" s="4"/>
      <c r="D125" s="4"/>
      <c r="E125" s="4"/>
      <c r="F125" s="4"/>
      <c r="G125" s="4"/>
    </row>
    <row r="126" spans="1:16">
      <c r="A126" s="4"/>
      <c r="B126" s="4"/>
      <c r="C126" s="4"/>
      <c r="D126" s="4"/>
      <c r="E126" s="4"/>
      <c r="F126" s="4"/>
      <c r="G126" s="4"/>
    </row>
    <row r="127" spans="1:16">
      <c r="A127" s="51"/>
      <c r="B127" s="4"/>
      <c r="C127" s="4"/>
      <c r="D127" s="4"/>
      <c r="E127" s="4"/>
      <c r="F127" s="4"/>
      <c r="G127" s="4"/>
    </row>
    <row r="128" spans="1:16">
      <c r="A128" s="51"/>
      <c r="B128" s="4"/>
      <c r="C128" s="4"/>
      <c r="D128" s="4"/>
      <c r="E128" s="4"/>
      <c r="F128" s="4"/>
      <c r="G128" s="4"/>
    </row>
    <row r="129" spans="1:7">
      <c r="A129" s="51"/>
      <c r="B129" s="4"/>
      <c r="C129" s="4"/>
      <c r="D129" s="4"/>
      <c r="E129" s="4"/>
      <c r="F129" s="4"/>
      <c r="G129" s="4"/>
    </row>
    <row r="130" spans="1:7">
      <c r="A130" s="4"/>
      <c r="B130" s="4"/>
      <c r="C130" s="4"/>
      <c r="D130" s="4"/>
      <c r="E130" s="4"/>
      <c r="F130" s="4"/>
      <c r="G130" s="4"/>
    </row>
    <row r="131" spans="1:7">
      <c r="A131" s="4"/>
      <c r="B131" s="4"/>
      <c r="C131" s="4"/>
      <c r="D131" s="4"/>
      <c r="E131" s="4"/>
      <c r="F131" s="4"/>
      <c r="G131" s="4"/>
    </row>
    <row r="132" spans="1:7">
      <c r="A132" s="4"/>
      <c r="B132" s="4"/>
      <c r="C132" s="4"/>
      <c r="D132" s="4"/>
      <c r="E132" s="4"/>
      <c r="F132" s="4"/>
      <c r="G132" s="4"/>
    </row>
    <row r="133" spans="1:7">
      <c r="A133" s="4"/>
      <c r="B133" s="4"/>
      <c r="C133" s="4"/>
      <c r="D133" s="4"/>
      <c r="E133" s="4"/>
      <c r="F133" s="4"/>
      <c r="G133" s="4"/>
    </row>
    <row r="134" spans="1:7">
      <c r="A134" s="4"/>
      <c r="B134" s="4"/>
      <c r="C134" s="4"/>
      <c r="D134" s="4"/>
      <c r="E134" s="4"/>
      <c r="F134" s="4"/>
      <c r="G134" s="4"/>
    </row>
  </sheetData>
  <mergeCells count="8">
    <mergeCell ref="C6:G6"/>
    <mergeCell ref="C7:G7"/>
    <mergeCell ref="C8:G8"/>
    <mergeCell ref="A1:G1"/>
    <mergeCell ref="C2:F2"/>
    <mergeCell ref="C3:G3"/>
    <mergeCell ref="C4:G4"/>
    <mergeCell ref="C5:G5"/>
  </mergeCells>
  <printOptions horizontalCentered="1" verticalCentered="1"/>
  <pageMargins left="0.78740157480314965" right="0.78740157480314965" top="0.59055118110236227" bottom="0.78740157480314965" header="0.31496062992125984" footer="0.31496062992125984"/>
  <pageSetup paperSize="9" scale="110" orientation="portrait" r:id="rId1"/>
  <ignoredErrors>
    <ignoredError sqref="G11:G78 G82:G85 G86:G88 G91:G99"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rgb="FFFFFF00"/>
  </sheetPr>
  <dimension ref="A1:BF448"/>
  <sheetViews>
    <sheetView showGridLines="0" view="pageBreakPreview" topLeftCell="A92" zoomScaleNormal="90" zoomScaleSheetLayoutView="100" workbookViewId="0">
      <selection activeCell="G102" sqref="G102:G103"/>
    </sheetView>
  </sheetViews>
  <sheetFormatPr baseColWidth="10" defaultColWidth="12" defaultRowHeight="12.75"/>
  <cols>
    <col min="1" max="1" width="15.1640625" style="1" customWidth="1"/>
    <col min="2" max="5" width="13.83203125" style="1" customWidth="1"/>
    <col min="6" max="7" width="14.33203125" style="1" customWidth="1"/>
    <col min="8" max="8" width="10.83203125" style="41" customWidth="1"/>
    <col min="9" max="9" width="12" style="41"/>
    <col min="10" max="18" width="12" style="30"/>
    <col min="19" max="16384" width="12" style="1"/>
  </cols>
  <sheetData>
    <row r="1" spans="1:38" ht="30" customHeight="1" thickBot="1">
      <c r="A1" s="3032" t="s">
        <v>7</v>
      </c>
      <c r="B1" s="3033"/>
      <c r="C1" s="3033"/>
      <c r="D1" s="3033"/>
      <c r="E1" s="3033"/>
      <c r="F1" s="3033"/>
      <c r="G1" s="3034"/>
      <c r="I1" s="74"/>
      <c r="J1" s="41"/>
      <c r="K1" s="41"/>
      <c r="L1" s="41"/>
      <c r="M1" s="41"/>
      <c r="N1" s="41"/>
      <c r="O1" s="41"/>
    </row>
    <row r="2" spans="1:38" s="3" customFormat="1" ht="24" customHeight="1">
      <c r="A2" s="1678" t="s">
        <v>18</v>
      </c>
      <c r="B2" s="141"/>
      <c r="C2" s="3035" t="s">
        <v>19</v>
      </c>
      <c r="D2" s="3003"/>
      <c r="E2" s="3003"/>
      <c r="F2" s="3004"/>
      <c r="G2" s="1679" t="s">
        <v>134</v>
      </c>
      <c r="H2" s="41"/>
      <c r="J2" s="74"/>
      <c r="K2" s="74"/>
      <c r="L2" s="74"/>
      <c r="M2" s="74"/>
      <c r="N2" s="74"/>
      <c r="O2" s="74"/>
      <c r="P2" s="31"/>
      <c r="Q2" s="31"/>
      <c r="R2" s="31"/>
    </row>
    <row r="3" spans="1:38" s="3" customFormat="1" ht="36" customHeight="1">
      <c r="A3" s="226" t="s">
        <v>17</v>
      </c>
      <c r="B3" s="49"/>
      <c r="C3" s="3011" t="s">
        <v>167</v>
      </c>
      <c r="D3" s="3012"/>
      <c r="E3" s="3012"/>
      <c r="F3" s="3012"/>
      <c r="G3" s="3013"/>
      <c r="H3" s="41"/>
      <c r="I3" s="74"/>
      <c r="J3" s="74"/>
      <c r="K3" s="74"/>
      <c r="L3" s="74"/>
      <c r="M3" s="74"/>
      <c r="N3" s="74"/>
      <c r="O3" s="74"/>
      <c r="P3" s="31"/>
      <c r="Q3" s="31"/>
      <c r="R3" s="31"/>
    </row>
    <row r="4" spans="1:38" s="3" customFormat="1" ht="24" customHeight="1">
      <c r="A4" s="226" t="s">
        <v>8</v>
      </c>
      <c r="B4" s="49"/>
      <c r="C4" s="3017" t="s">
        <v>234</v>
      </c>
      <c r="D4" s="3018"/>
      <c r="E4" s="3018"/>
      <c r="F4" s="3018"/>
      <c r="G4" s="3019"/>
      <c r="H4" s="41"/>
      <c r="I4" s="74"/>
      <c r="J4" s="74"/>
      <c r="K4" s="74"/>
      <c r="L4" s="74"/>
      <c r="M4" s="74"/>
      <c r="N4" s="74"/>
      <c r="O4" s="74"/>
      <c r="P4" s="31"/>
      <c r="Q4" s="31"/>
      <c r="R4" s="31"/>
    </row>
    <row r="5" spans="1:38" s="3" customFormat="1" ht="24" customHeight="1">
      <c r="A5" s="226" t="s">
        <v>11</v>
      </c>
      <c r="B5" s="49"/>
      <c r="C5" s="3017" t="s">
        <v>20</v>
      </c>
      <c r="D5" s="3018"/>
      <c r="E5" s="3018"/>
      <c r="F5" s="3018"/>
      <c r="G5" s="3019"/>
      <c r="H5" s="41"/>
      <c r="I5" s="74"/>
      <c r="J5" s="75"/>
      <c r="K5" s="41"/>
      <c r="L5" s="76"/>
      <c r="M5" s="41"/>
      <c r="N5" s="75"/>
      <c r="O5" s="74"/>
      <c r="P5" s="31"/>
      <c r="Q5" s="31"/>
      <c r="R5" s="31"/>
    </row>
    <row r="6" spans="1:38" s="3" customFormat="1" ht="24" customHeight="1">
      <c r="A6" s="226" t="s">
        <v>16</v>
      </c>
      <c r="B6" s="49"/>
      <c r="C6" s="3017" t="s">
        <v>15</v>
      </c>
      <c r="D6" s="3018"/>
      <c r="E6" s="3018"/>
      <c r="F6" s="3018"/>
      <c r="G6" s="3019"/>
      <c r="H6" s="41"/>
      <c r="I6" s="74"/>
      <c r="J6" s="74"/>
      <c r="K6" s="74"/>
      <c r="L6" s="74"/>
      <c r="M6" s="74"/>
      <c r="N6" s="74"/>
      <c r="O6" s="74"/>
      <c r="P6" s="31"/>
      <c r="Q6" s="31"/>
      <c r="R6" s="31"/>
    </row>
    <row r="7" spans="1:38" s="3" customFormat="1" ht="24" customHeight="1">
      <c r="A7" s="226" t="s">
        <v>9</v>
      </c>
      <c r="B7" s="49"/>
      <c r="C7" s="3017" t="s">
        <v>700</v>
      </c>
      <c r="D7" s="3018"/>
      <c r="E7" s="3018"/>
      <c r="F7" s="3018"/>
      <c r="G7" s="3019"/>
      <c r="H7" s="41"/>
      <c r="I7" s="74"/>
      <c r="J7" s="74"/>
      <c r="K7" s="74"/>
      <c r="L7" s="74"/>
      <c r="M7" s="74"/>
      <c r="N7" s="74"/>
      <c r="O7" s="74"/>
      <c r="P7" s="31"/>
      <c r="Q7" s="31"/>
      <c r="R7" s="31"/>
      <c r="AL7" s="37"/>
    </row>
    <row r="8" spans="1:38" s="3" customFormat="1" ht="24" customHeight="1">
      <c r="A8" s="226" t="s">
        <v>21</v>
      </c>
      <c r="B8" s="49"/>
      <c r="C8" s="3036" t="s">
        <v>198</v>
      </c>
      <c r="D8" s="3036"/>
      <c r="E8" s="3036"/>
      <c r="F8" s="3036"/>
      <c r="G8" s="3037"/>
      <c r="H8" s="4"/>
      <c r="I8" s="62"/>
      <c r="J8" s="62"/>
      <c r="K8" s="62"/>
      <c r="L8" s="62"/>
      <c r="M8" s="62"/>
      <c r="N8" s="62"/>
      <c r="O8" s="62"/>
      <c r="P8" s="62"/>
    </row>
    <row r="9" spans="1:38" ht="13.5" thickBot="1">
      <c r="A9" s="1683"/>
      <c r="B9" s="147"/>
      <c r="C9" s="147"/>
      <c r="D9" s="147"/>
      <c r="E9" s="147"/>
      <c r="F9" s="147"/>
      <c r="G9" s="1684"/>
      <c r="H9" s="4"/>
      <c r="I9" s="4"/>
      <c r="J9" s="4"/>
      <c r="K9" s="4"/>
      <c r="L9" s="4"/>
      <c r="M9" s="4"/>
      <c r="N9" s="4"/>
      <c r="O9" s="4"/>
      <c r="P9" s="4"/>
      <c r="Q9" s="1"/>
      <c r="R9" s="1"/>
    </row>
    <row r="10" spans="1:38" s="4" customFormat="1" ht="19.5" customHeight="1" thickBot="1">
      <c r="A10" s="773" t="s">
        <v>56</v>
      </c>
      <c r="B10" s="774" t="s">
        <v>0</v>
      </c>
      <c r="C10" s="774" t="s">
        <v>1</v>
      </c>
      <c r="D10" s="774" t="s">
        <v>2</v>
      </c>
      <c r="E10" s="774" t="s">
        <v>3</v>
      </c>
      <c r="F10" s="774" t="s">
        <v>4</v>
      </c>
      <c r="G10" s="744" t="s">
        <v>5</v>
      </c>
      <c r="L10" s="41"/>
      <c r="M10" s="41"/>
      <c r="N10" s="41"/>
      <c r="O10" s="41"/>
      <c r="P10" s="30"/>
      <c r="Q10" s="30"/>
    </row>
    <row r="11" spans="1:38" ht="19.5" hidden="1" customHeight="1">
      <c r="A11" s="775">
        <v>40544</v>
      </c>
      <c r="B11" s="776">
        <v>1216022.22</v>
      </c>
      <c r="C11" s="777">
        <v>848595.71</v>
      </c>
      <c r="D11" s="776">
        <v>43249.67</v>
      </c>
      <c r="E11" s="777">
        <v>139858.04999999999</v>
      </c>
      <c r="F11" s="776">
        <v>400349.21</v>
      </c>
      <c r="G11" s="778">
        <f>SUM(B11:F11)</f>
        <v>2648074.86</v>
      </c>
      <c r="J11" s="41"/>
      <c r="K11" s="41"/>
      <c r="L11" s="41"/>
      <c r="M11" s="41"/>
      <c r="N11" s="41"/>
      <c r="O11" s="41"/>
    </row>
    <row r="12" spans="1:38" ht="19.5" hidden="1" customHeight="1">
      <c r="A12" s="779">
        <v>40575</v>
      </c>
      <c r="B12" s="780">
        <v>1208234.79</v>
      </c>
      <c r="C12" s="781">
        <v>843517.98</v>
      </c>
      <c r="D12" s="780">
        <v>42252.89</v>
      </c>
      <c r="E12" s="781">
        <v>141794.98000000001</v>
      </c>
      <c r="F12" s="780">
        <v>389050.06</v>
      </c>
      <c r="G12" s="782">
        <f t="shared" ref="G12:G52" si="0">SUM(B12:F12)</f>
        <v>2624850.7000000002</v>
      </c>
      <c r="J12" s="41"/>
      <c r="K12" s="41"/>
      <c r="L12" s="41"/>
      <c r="M12" s="41"/>
      <c r="N12" s="41"/>
      <c r="O12" s="41"/>
    </row>
    <row r="13" spans="1:38" ht="19.5" hidden="1" customHeight="1">
      <c r="A13" s="779">
        <v>40603</v>
      </c>
      <c r="B13" s="780">
        <v>1221078.0900000001</v>
      </c>
      <c r="C13" s="781">
        <v>849723.66</v>
      </c>
      <c r="D13" s="780">
        <v>42097.21</v>
      </c>
      <c r="E13" s="781">
        <v>143466.9</v>
      </c>
      <c r="F13" s="780">
        <v>401241.67</v>
      </c>
      <c r="G13" s="782">
        <f t="shared" si="0"/>
        <v>2657607.5299999998</v>
      </c>
      <c r="J13" s="41"/>
      <c r="K13" s="41"/>
      <c r="L13" s="41"/>
      <c r="M13" s="41"/>
      <c r="N13" s="41"/>
      <c r="O13" s="41"/>
    </row>
    <row r="14" spans="1:38" ht="19.5" hidden="1" customHeight="1">
      <c r="A14" s="779">
        <v>40634</v>
      </c>
      <c r="B14" s="780">
        <v>1221486.83</v>
      </c>
      <c r="C14" s="781">
        <v>854507.94</v>
      </c>
      <c r="D14" s="780">
        <v>41001.769999999997</v>
      </c>
      <c r="E14" s="781">
        <v>146946.49</v>
      </c>
      <c r="F14" s="780">
        <v>398893.18</v>
      </c>
      <c r="G14" s="782">
        <f t="shared" si="0"/>
        <v>2662836.2100000004</v>
      </c>
      <c r="J14" s="41"/>
      <c r="K14" s="41"/>
      <c r="L14" s="41"/>
      <c r="M14" s="41"/>
      <c r="N14" s="41"/>
      <c r="O14" s="41"/>
    </row>
    <row r="15" spans="1:38" ht="19.5" hidden="1" customHeight="1">
      <c r="A15" s="779">
        <v>40664</v>
      </c>
      <c r="B15" s="780">
        <v>1210812.51</v>
      </c>
      <c r="C15" s="781">
        <v>847356.15</v>
      </c>
      <c r="D15" s="780">
        <v>39675.65</v>
      </c>
      <c r="E15" s="781">
        <v>153541.75</v>
      </c>
      <c r="F15" s="780">
        <v>391462.37</v>
      </c>
      <c r="G15" s="782">
        <f t="shared" si="0"/>
        <v>2642848.4300000002</v>
      </c>
      <c r="J15" s="41"/>
      <c r="K15" s="41"/>
      <c r="L15" s="41"/>
      <c r="M15" s="41"/>
      <c r="N15" s="41"/>
      <c r="O15" s="41"/>
    </row>
    <row r="16" spans="1:38" ht="19.5" hidden="1" customHeight="1">
      <c r="A16" s="779">
        <v>40695</v>
      </c>
      <c r="B16" s="783">
        <v>1212596.3500000001</v>
      </c>
      <c r="C16" s="784">
        <v>858500.26</v>
      </c>
      <c r="D16" s="783">
        <v>38303.99</v>
      </c>
      <c r="E16" s="784">
        <v>143038.17000000001</v>
      </c>
      <c r="F16" s="783">
        <v>406019.75</v>
      </c>
      <c r="G16" s="782">
        <f t="shared" si="0"/>
        <v>2658458.52</v>
      </c>
      <c r="J16" s="41"/>
      <c r="K16" s="41"/>
      <c r="L16" s="41"/>
      <c r="M16" s="41"/>
      <c r="N16" s="41"/>
      <c r="O16" s="41"/>
    </row>
    <row r="17" spans="1:18" ht="19.5" hidden="1" customHeight="1">
      <c r="A17" s="779">
        <v>40725</v>
      </c>
      <c r="B17" s="783">
        <v>1218024.52</v>
      </c>
      <c r="C17" s="784">
        <v>872727.67</v>
      </c>
      <c r="D17" s="783">
        <v>37817.57</v>
      </c>
      <c r="E17" s="784">
        <v>144948.12</v>
      </c>
      <c r="F17" s="783">
        <v>431798.97</v>
      </c>
      <c r="G17" s="782">
        <f t="shared" si="0"/>
        <v>2705316.8499999996</v>
      </c>
      <c r="J17" s="41"/>
      <c r="K17" s="41"/>
      <c r="L17" s="41"/>
      <c r="M17" s="41"/>
      <c r="N17" s="41"/>
      <c r="O17" s="41"/>
    </row>
    <row r="18" spans="1:18" ht="19.5" hidden="1" customHeight="1">
      <c r="A18" s="779">
        <v>40756</v>
      </c>
      <c r="B18" s="783">
        <v>1222035.01</v>
      </c>
      <c r="C18" s="784">
        <v>883493.44</v>
      </c>
      <c r="D18" s="783">
        <v>37411.19</v>
      </c>
      <c r="E18" s="784">
        <v>153714.57</v>
      </c>
      <c r="F18" s="783">
        <v>435365.8</v>
      </c>
      <c r="G18" s="782">
        <f t="shared" si="0"/>
        <v>2732020.01</v>
      </c>
      <c r="J18" s="41"/>
      <c r="K18" s="41"/>
      <c r="L18" s="41"/>
      <c r="M18" s="41"/>
      <c r="N18" s="41"/>
      <c r="O18" s="41"/>
    </row>
    <row r="19" spans="1:18" ht="19.5" hidden="1" customHeight="1">
      <c r="A19" s="779">
        <v>40787</v>
      </c>
      <c r="B19" s="783">
        <v>1213716.1000000001</v>
      </c>
      <c r="C19" s="784">
        <v>884970.48</v>
      </c>
      <c r="D19" s="783">
        <v>36524.800000000003</v>
      </c>
      <c r="E19" s="784">
        <v>150619.17000000001</v>
      </c>
      <c r="F19" s="783">
        <v>437140.8</v>
      </c>
      <c r="G19" s="782">
        <f t="shared" si="0"/>
        <v>2722971.3499999996</v>
      </c>
      <c r="J19" s="41"/>
      <c r="K19" s="41"/>
      <c r="L19" s="41"/>
      <c r="M19" s="41"/>
      <c r="N19" s="41"/>
      <c r="O19" s="41"/>
    </row>
    <row r="20" spans="1:18" ht="19.5" hidden="1" customHeight="1">
      <c r="A20" s="779">
        <v>40817</v>
      </c>
      <c r="B20" s="783">
        <v>1220433.98</v>
      </c>
      <c r="C20" s="784">
        <v>896169.93</v>
      </c>
      <c r="D20" s="783">
        <v>36869.410000000003</v>
      </c>
      <c r="E20" s="784">
        <v>147481.49</v>
      </c>
      <c r="F20" s="783">
        <v>440123.11</v>
      </c>
      <c r="G20" s="782">
        <f t="shared" si="0"/>
        <v>2741077.9200000004</v>
      </c>
      <c r="J20" s="41"/>
      <c r="K20" s="41"/>
      <c r="L20" s="41"/>
      <c r="M20" s="41"/>
      <c r="N20" s="41"/>
      <c r="O20" s="41"/>
    </row>
    <row r="21" spans="1:18" ht="19.5" hidden="1" customHeight="1">
      <c r="A21" s="779">
        <v>40848</v>
      </c>
      <c r="B21" s="783">
        <v>1222336.1200000001</v>
      </c>
      <c r="C21" s="784">
        <v>901128.3</v>
      </c>
      <c r="D21" s="783">
        <v>36717.839999999997</v>
      </c>
      <c r="E21" s="784">
        <v>143891.04999999999</v>
      </c>
      <c r="F21" s="783">
        <v>446874.79</v>
      </c>
      <c r="G21" s="782">
        <f t="shared" si="0"/>
        <v>2750948.0999999996</v>
      </c>
      <c r="J21" s="41"/>
      <c r="K21" s="41"/>
      <c r="L21" s="41"/>
      <c r="M21" s="41"/>
      <c r="N21" s="41"/>
      <c r="O21" s="41"/>
    </row>
    <row r="22" spans="1:18" ht="19.5" hidden="1" customHeight="1">
      <c r="A22" s="779">
        <v>40878</v>
      </c>
      <c r="B22" s="783">
        <v>1230438.3</v>
      </c>
      <c r="C22" s="784">
        <v>913760.79</v>
      </c>
      <c r="D22" s="783">
        <v>36245.019999999997</v>
      </c>
      <c r="E22" s="784">
        <v>138646.18</v>
      </c>
      <c r="F22" s="783">
        <v>469112.16</v>
      </c>
      <c r="G22" s="782">
        <f t="shared" si="0"/>
        <v>2788202.45</v>
      </c>
      <c r="J22" s="41"/>
      <c r="K22" s="41"/>
      <c r="L22" s="41"/>
      <c r="M22" s="41"/>
      <c r="N22" s="41"/>
      <c r="O22" s="41"/>
    </row>
    <row r="23" spans="1:18" hidden="1">
      <c r="A23" s="779">
        <v>40909</v>
      </c>
      <c r="B23" s="783">
        <v>1229113.07</v>
      </c>
      <c r="C23" s="784">
        <v>915231.68</v>
      </c>
      <c r="D23" s="783">
        <v>36451.22</v>
      </c>
      <c r="E23" s="784">
        <v>131393.01999999999</v>
      </c>
      <c r="F23" s="783">
        <v>492675.57</v>
      </c>
      <c r="G23" s="782">
        <f t="shared" si="0"/>
        <v>2804864.56</v>
      </c>
      <c r="J23" s="41"/>
      <c r="K23" s="41"/>
      <c r="L23" s="41"/>
      <c r="M23" s="41"/>
      <c r="N23" s="41"/>
      <c r="O23" s="41"/>
    </row>
    <row r="24" spans="1:18" hidden="1">
      <c r="A24" s="779">
        <v>40940</v>
      </c>
      <c r="B24" s="776">
        <v>1240086.74</v>
      </c>
      <c r="C24" s="777">
        <v>934275.95</v>
      </c>
      <c r="D24" s="776">
        <v>36325.72</v>
      </c>
      <c r="E24" s="777">
        <v>119672.43</v>
      </c>
      <c r="F24" s="776">
        <v>500544.46</v>
      </c>
      <c r="G24" s="782">
        <f t="shared" si="0"/>
        <v>2830905.3000000003</v>
      </c>
      <c r="J24" s="41"/>
      <c r="K24" s="41"/>
      <c r="L24" s="41"/>
      <c r="M24" s="41"/>
      <c r="N24" s="41"/>
      <c r="O24" s="41"/>
    </row>
    <row r="25" spans="1:18" hidden="1">
      <c r="A25" s="779">
        <v>40969</v>
      </c>
      <c r="B25" s="780">
        <v>1233667.52</v>
      </c>
      <c r="C25" s="781">
        <v>928399.31</v>
      </c>
      <c r="D25" s="780">
        <v>35870.25</v>
      </c>
      <c r="E25" s="781">
        <v>112294.83</v>
      </c>
      <c r="F25" s="780">
        <v>498419.98</v>
      </c>
      <c r="G25" s="782">
        <f t="shared" si="0"/>
        <v>2808651.89</v>
      </c>
      <c r="J25" s="41"/>
      <c r="K25" s="41"/>
      <c r="L25" s="41"/>
      <c r="M25" s="41"/>
      <c r="N25" s="41"/>
      <c r="O25" s="41"/>
    </row>
    <row r="26" spans="1:18" hidden="1">
      <c r="A26" s="779">
        <v>41000</v>
      </c>
      <c r="B26" s="780">
        <v>1235448.57</v>
      </c>
      <c r="C26" s="781">
        <v>930458.32</v>
      </c>
      <c r="D26" s="780">
        <v>36119.79</v>
      </c>
      <c r="E26" s="781">
        <v>99376.09</v>
      </c>
      <c r="F26" s="780">
        <v>530856.52</v>
      </c>
      <c r="G26" s="782">
        <f t="shared" si="0"/>
        <v>2832259.29</v>
      </c>
      <c r="I26" s="70"/>
      <c r="J26" s="41"/>
      <c r="K26" s="41"/>
      <c r="L26" s="41"/>
      <c r="M26" s="41"/>
      <c r="N26" s="41"/>
      <c r="O26" s="41"/>
    </row>
    <row r="27" spans="1:18" hidden="1">
      <c r="A27" s="779">
        <v>41030</v>
      </c>
      <c r="B27" s="780">
        <v>1254274.77</v>
      </c>
      <c r="C27" s="781">
        <v>947466.19</v>
      </c>
      <c r="D27" s="780">
        <v>37077.71</v>
      </c>
      <c r="E27" s="781">
        <v>86414.91</v>
      </c>
      <c r="F27" s="780">
        <v>548531.99</v>
      </c>
      <c r="G27" s="782">
        <f t="shared" si="0"/>
        <v>2873765.5700000003</v>
      </c>
      <c r="J27" s="41"/>
      <c r="K27" s="41"/>
      <c r="L27" s="41"/>
      <c r="M27" s="41"/>
      <c r="N27" s="41"/>
      <c r="O27" s="41"/>
    </row>
    <row r="28" spans="1:18" hidden="1">
      <c r="A28" s="779">
        <v>41061</v>
      </c>
      <c r="B28" s="780">
        <v>1279399.1299999999</v>
      </c>
      <c r="C28" s="781">
        <v>959215.43</v>
      </c>
      <c r="D28" s="780">
        <v>37160.410000000003</v>
      </c>
      <c r="E28" s="781">
        <v>85145.19</v>
      </c>
      <c r="F28" s="780">
        <v>536977.61</v>
      </c>
      <c r="G28" s="782">
        <f t="shared" si="0"/>
        <v>2897897.77</v>
      </c>
      <c r="J28" s="41"/>
      <c r="K28" s="41"/>
      <c r="L28" s="4"/>
      <c r="M28" s="4"/>
      <c r="N28" s="4"/>
      <c r="O28" s="4"/>
      <c r="P28" s="4"/>
      <c r="Q28" s="1"/>
    </row>
    <row r="29" spans="1:18" hidden="1">
      <c r="A29" s="779">
        <v>41091</v>
      </c>
      <c r="B29" s="783">
        <v>1299667.8799999999</v>
      </c>
      <c r="C29" s="784">
        <v>965906.46</v>
      </c>
      <c r="D29" s="783">
        <v>36261.910000000003</v>
      </c>
      <c r="E29" s="784">
        <v>73636.05</v>
      </c>
      <c r="F29" s="783">
        <v>539276.43999999994</v>
      </c>
      <c r="G29" s="782">
        <f t="shared" si="0"/>
        <v>2914748.7399999998</v>
      </c>
      <c r="H29" s="4"/>
      <c r="I29" s="4"/>
      <c r="J29" s="4"/>
      <c r="K29" s="4"/>
      <c r="L29" s="4"/>
      <c r="M29" s="4"/>
      <c r="N29" s="4"/>
      <c r="O29" s="4"/>
      <c r="P29" s="4"/>
      <c r="Q29" s="1"/>
      <c r="R29" s="1"/>
    </row>
    <row r="30" spans="1:18" hidden="1">
      <c r="A30" s="779">
        <v>41122</v>
      </c>
      <c r="B30" s="783">
        <v>1328923.4099999999</v>
      </c>
      <c r="C30" s="784">
        <v>977302.54</v>
      </c>
      <c r="D30" s="783">
        <v>36672.49</v>
      </c>
      <c r="E30" s="784">
        <v>57312.800000000003</v>
      </c>
      <c r="F30" s="783">
        <v>552969.42000000004</v>
      </c>
      <c r="G30" s="782">
        <f t="shared" si="0"/>
        <v>2953180.66</v>
      </c>
      <c r="H30" s="4"/>
      <c r="I30" s="4"/>
      <c r="J30" s="4"/>
      <c r="K30" s="4"/>
      <c r="L30" s="4"/>
      <c r="M30" s="4"/>
      <c r="N30" s="4"/>
      <c r="O30" s="4"/>
      <c r="P30" s="4"/>
      <c r="Q30" s="1"/>
      <c r="R30" s="1"/>
    </row>
    <row r="31" spans="1:18" hidden="1">
      <c r="A31" s="779">
        <v>41153</v>
      </c>
      <c r="B31" s="783">
        <v>1358845.81</v>
      </c>
      <c r="C31" s="784">
        <v>994390.21</v>
      </c>
      <c r="D31" s="783">
        <v>36819.74</v>
      </c>
      <c r="E31" s="784">
        <v>78805.119999999995</v>
      </c>
      <c r="F31" s="783">
        <v>547202.07999999996</v>
      </c>
      <c r="G31" s="782">
        <f t="shared" si="0"/>
        <v>3016062.9600000004</v>
      </c>
      <c r="H31" s="4"/>
      <c r="I31" s="4"/>
      <c r="J31" s="4"/>
      <c r="K31" s="4"/>
      <c r="L31" s="4"/>
      <c r="M31" s="4"/>
      <c r="N31" s="4"/>
      <c r="O31" s="4"/>
      <c r="P31" s="4"/>
      <c r="Q31" s="1"/>
      <c r="R31" s="1"/>
    </row>
    <row r="32" spans="1:18" hidden="1">
      <c r="A32" s="779">
        <v>41183</v>
      </c>
      <c r="B32" s="783">
        <v>1382593.57</v>
      </c>
      <c r="C32" s="784">
        <v>1001561.96</v>
      </c>
      <c r="D32" s="783">
        <v>37150.58</v>
      </c>
      <c r="E32" s="784">
        <v>97876.06</v>
      </c>
      <c r="F32" s="783">
        <v>582277.01</v>
      </c>
      <c r="G32" s="782">
        <f t="shared" si="0"/>
        <v>3101459.1800000006</v>
      </c>
      <c r="H32" s="4"/>
      <c r="I32" s="4"/>
      <c r="J32" s="4"/>
      <c r="K32" s="4"/>
      <c r="L32" s="4"/>
      <c r="M32" s="4"/>
      <c r="N32" s="4"/>
      <c r="O32" s="4"/>
      <c r="P32" s="4"/>
      <c r="Q32" s="1"/>
      <c r="R32" s="1"/>
    </row>
    <row r="33" spans="1:58" hidden="1">
      <c r="A33" s="779">
        <v>41214</v>
      </c>
      <c r="B33" s="783">
        <v>1388613.13</v>
      </c>
      <c r="C33" s="784">
        <v>1012614.79</v>
      </c>
      <c r="D33" s="783">
        <v>36959.24</v>
      </c>
      <c r="E33" s="784">
        <v>111966.21</v>
      </c>
      <c r="F33" s="783">
        <v>579211.25</v>
      </c>
      <c r="G33" s="782">
        <f t="shared" si="0"/>
        <v>3129364.62</v>
      </c>
      <c r="H33" s="4"/>
      <c r="I33" s="4"/>
      <c r="J33" s="4"/>
      <c r="K33" s="4"/>
      <c r="L33" s="4"/>
      <c r="M33" s="4"/>
      <c r="N33" s="4"/>
      <c r="O33" s="4"/>
      <c r="P33" s="4"/>
      <c r="Q33" s="1"/>
      <c r="R33" s="1"/>
    </row>
    <row r="34" spans="1:58" hidden="1">
      <c r="A34" s="779">
        <v>41244</v>
      </c>
      <c r="B34" s="783">
        <v>1391497.73</v>
      </c>
      <c r="C34" s="784">
        <v>1011313.13</v>
      </c>
      <c r="D34" s="783">
        <v>37005.339999999997</v>
      </c>
      <c r="E34" s="784">
        <v>131648.6</v>
      </c>
      <c r="F34" s="783">
        <v>568297.78</v>
      </c>
      <c r="G34" s="782">
        <f t="shared" si="0"/>
        <v>3139762.58</v>
      </c>
      <c r="H34" s="4"/>
      <c r="I34" s="4"/>
      <c r="J34" s="4"/>
      <c r="K34" s="4"/>
      <c r="L34" s="4"/>
      <c r="M34" s="4"/>
      <c r="N34" s="4"/>
      <c r="O34" s="4"/>
      <c r="P34" s="4"/>
      <c r="Q34" s="1"/>
      <c r="R34" s="1"/>
    </row>
    <row r="35" spans="1:58" hidden="1">
      <c r="A35" s="779">
        <v>41275</v>
      </c>
      <c r="B35" s="783">
        <v>1400927.77</v>
      </c>
      <c r="C35" s="784">
        <v>1021072.88</v>
      </c>
      <c r="D35" s="783">
        <v>37032.07</v>
      </c>
      <c r="E35" s="784">
        <v>126944.57</v>
      </c>
      <c r="F35" s="783">
        <v>585496.01</v>
      </c>
      <c r="G35" s="782">
        <f t="shared" si="0"/>
        <v>3171473.3</v>
      </c>
      <c r="H35" s="4"/>
      <c r="I35" s="4"/>
      <c r="J35" s="4"/>
      <c r="K35" s="4"/>
      <c r="L35" s="4"/>
      <c r="M35" s="4"/>
      <c r="N35" s="4"/>
      <c r="O35" s="4"/>
      <c r="P35" s="4"/>
      <c r="Q35" s="1"/>
      <c r="R35" s="1"/>
    </row>
    <row r="36" spans="1:58" hidden="1">
      <c r="A36" s="779">
        <v>41306</v>
      </c>
      <c r="B36" s="783">
        <v>1421501.99</v>
      </c>
      <c r="C36" s="784">
        <v>1022982.59</v>
      </c>
      <c r="D36" s="783">
        <v>37645.81</v>
      </c>
      <c r="E36" s="784">
        <v>125325.12</v>
      </c>
      <c r="F36" s="783">
        <v>587629.62</v>
      </c>
      <c r="G36" s="782">
        <f t="shared" si="0"/>
        <v>3195085.1300000004</v>
      </c>
      <c r="H36" s="4"/>
      <c r="I36" s="4"/>
      <c r="J36" s="4"/>
      <c r="K36" s="4"/>
      <c r="L36" s="4"/>
      <c r="M36" s="4"/>
      <c r="N36" s="4"/>
      <c r="O36" s="4"/>
      <c r="P36" s="4"/>
      <c r="Q36" s="4"/>
      <c r="R36" s="1"/>
    </row>
    <row r="37" spans="1:58" s="4" customFormat="1" hidden="1">
      <c r="A37" s="779">
        <v>41334</v>
      </c>
      <c r="B37" s="780">
        <v>1444412.16</v>
      </c>
      <c r="C37" s="781">
        <v>1040254.58</v>
      </c>
      <c r="D37" s="780">
        <v>37714.019999999997</v>
      </c>
      <c r="E37" s="781">
        <v>148658.13</v>
      </c>
      <c r="F37" s="780">
        <v>608808.61999899999</v>
      </c>
      <c r="G37" s="782">
        <f t="shared" si="0"/>
        <v>3279847.5099989995</v>
      </c>
      <c r="Q37" s="1"/>
    </row>
    <row r="38" spans="1:58" hidden="1">
      <c r="A38" s="775">
        <v>41365</v>
      </c>
      <c r="B38" s="776">
        <v>1475309.99</v>
      </c>
      <c r="C38" s="777">
        <v>1059469.27</v>
      </c>
      <c r="D38" s="776">
        <v>39214.89</v>
      </c>
      <c r="E38" s="777">
        <v>178024.24</v>
      </c>
      <c r="F38" s="776">
        <v>595497.80999900005</v>
      </c>
      <c r="G38" s="785">
        <f t="shared" si="0"/>
        <v>3347516.1999989999</v>
      </c>
      <c r="H38" s="4"/>
      <c r="I38" s="4"/>
      <c r="J38" s="4"/>
      <c r="K38" s="4"/>
      <c r="L38" s="4"/>
      <c r="M38" s="4"/>
      <c r="N38" s="4"/>
      <c r="O38" s="4"/>
      <c r="P38" s="4"/>
      <c r="Q38" s="1"/>
      <c r="R38" s="1"/>
    </row>
    <row r="39" spans="1:58" hidden="1">
      <c r="A39" s="779">
        <v>41395</v>
      </c>
      <c r="B39" s="780">
        <v>1486847.18</v>
      </c>
      <c r="C39" s="781">
        <v>1068939.24</v>
      </c>
      <c r="D39" s="780">
        <v>38963.01</v>
      </c>
      <c r="E39" s="781">
        <v>209016.71</v>
      </c>
      <c r="F39" s="780">
        <v>606603.97999899997</v>
      </c>
      <c r="G39" s="786">
        <f t="shared" si="0"/>
        <v>3410370.1199989999</v>
      </c>
      <c r="H39" s="4"/>
      <c r="I39" s="4"/>
      <c r="J39" s="4"/>
      <c r="K39" s="4"/>
      <c r="L39" s="4"/>
      <c r="M39" s="4"/>
      <c r="N39" s="4"/>
      <c r="O39" s="4"/>
      <c r="P39" s="4"/>
      <c r="Q39" s="1"/>
      <c r="R39" s="1"/>
    </row>
    <row r="40" spans="1:58" hidden="1">
      <c r="A40" s="779">
        <v>41426</v>
      </c>
      <c r="B40" s="780">
        <v>1473722.9</v>
      </c>
      <c r="C40" s="781">
        <v>1059792.1100000001</v>
      </c>
      <c r="D40" s="780">
        <v>38470.129999999997</v>
      </c>
      <c r="E40" s="781">
        <v>230685.23</v>
      </c>
      <c r="F40" s="780">
        <v>604192.59999899997</v>
      </c>
      <c r="G40" s="786">
        <f t="shared" si="0"/>
        <v>3406862.9699989995</v>
      </c>
      <c r="H40" s="4"/>
      <c r="I40" s="4"/>
      <c r="J40" s="4"/>
      <c r="K40" s="4"/>
      <c r="L40" s="4"/>
      <c r="M40" s="4"/>
      <c r="N40" s="4"/>
      <c r="O40" s="4"/>
      <c r="P40" s="4"/>
      <c r="Q40" s="1"/>
      <c r="R40" s="1"/>
    </row>
    <row r="41" spans="1:58" hidden="1">
      <c r="A41" s="779">
        <v>41456</v>
      </c>
      <c r="B41" s="780">
        <v>1466435.66</v>
      </c>
      <c r="C41" s="781">
        <v>1056772.3600000001</v>
      </c>
      <c r="D41" s="780">
        <v>39143.83</v>
      </c>
      <c r="E41" s="781">
        <v>228976.75</v>
      </c>
      <c r="F41" s="780">
        <v>598573.39999900002</v>
      </c>
      <c r="G41" s="786">
        <f t="shared" si="0"/>
        <v>3389901.9999990002</v>
      </c>
      <c r="H41" s="4"/>
      <c r="I41" s="4"/>
      <c r="J41" s="4"/>
      <c r="K41" s="4"/>
      <c r="L41" s="4"/>
      <c r="M41" s="4"/>
      <c r="N41" s="4"/>
      <c r="O41" s="4"/>
      <c r="P41" s="4"/>
      <c r="Q41" s="1"/>
      <c r="R41" s="1"/>
    </row>
    <row r="42" spans="1:58" hidden="1">
      <c r="A42" s="779">
        <v>41487</v>
      </c>
      <c r="B42" s="783">
        <v>1446965.42</v>
      </c>
      <c r="C42" s="784">
        <v>1050796.53</v>
      </c>
      <c r="D42" s="783">
        <v>38953.86</v>
      </c>
      <c r="E42" s="784">
        <v>248500.38</v>
      </c>
      <c r="F42" s="783">
        <v>594501.15999900002</v>
      </c>
      <c r="G42" s="787">
        <f t="shared" si="0"/>
        <v>3379717.3499989999</v>
      </c>
      <c r="H42" s="4"/>
      <c r="I42" s="4"/>
      <c r="J42" s="4"/>
      <c r="K42" s="4"/>
      <c r="L42" s="4"/>
      <c r="M42" s="4"/>
      <c r="N42" s="4"/>
      <c r="O42" s="4"/>
      <c r="P42" s="4"/>
      <c r="Q42" s="1"/>
      <c r="R42" s="1"/>
    </row>
    <row r="43" spans="1:58" hidden="1">
      <c r="A43" s="779">
        <v>41518</v>
      </c>
      <c r="B43" s="783">
        <v>1436134.08</v>
      </c>
      <c r="C43" s="784">
        <v>1040847.18</v>
      </c>
      <c r="D43" s="783">
        <v>39328.68</v>
      </c>
      <c r="E43" s="784">
        <v>240963.94</v>
      </c>
      <c r="F43" s="783">
        <v>616566.36999899999</v>
      </c>
      <c r="G43" s="787">
        <f t="shared" si="0"/>
        <v>3373840.2499990002</v>
      </c>
      <c r="H43" s="4"/>
      <c r="I43" s="4"/>
      <c r="J43" s="4"/>
      <c r="K43" s="4"/>
      <c r="L43" s="4"/>
      <c r="M43" s="4"/>
      <c r="N43" s="4"/>
      <c r="O43" s="4"/>
      <c r="P43" s="4"/>
      <c r="Q43" s="1"/>
      <c r="R43" s="1"/>
      <c r="BF43" s="104">
        <v>0</v>
      </c>
    </row>
    <row r="44" spans="1:58" hidden="1">
      <c r="A44" s="779">
        <v>41548</v>
      </c>
      <c r="B44" s="783">
        <v>1420097.48</v>
      </c>
      <c r="C44" s="784">
        <v>1039558.84</v>
      </c>
      <c r="D44" s="783">
        <v>38527.050000000003</v>
      </c>
      <c r="E44" s="784">
        <v>235955.25</v>
      </c>
      <c r="F44" s="783">
        <v>595250.17999900004</v>
      </c>
      <c r="G44" s="787">
        <f t="shared" si="0"/>
        <v>3329388.7999989996</v>
      </c>
      <c r="H44" s="4"/>
      <c r="I44" s="4"/>
      <c r="J44" s="4"/>
      <c r="K44" s="4"/>
      <c r="L44" s="4"/>
      <c r="M44" s="4"/>
      <c r="N44" s="4"/>
      <c r="O44" s="4"/>
      <c r="P44" s="4"/>
      <c r="Q44" s="1"/>
      <c r="R44" s="1"/>
      <c r="BF44" s="104"/>
    </row>
    <row r="45" spans="1:58" hidden="1">
      <c r="A45" s="779">
        <v>41579</v>
      </c>
      <c r="B45" s="783">
        <v>1429264.54</v>
      </c>
      <c r="C45" s="784">
        <v>1043861.47</v>
      </c>
      <c r="D45" s="783">
        <v>38526.65</v>
      </c>
      <c r="E45" s="784">
        <v>236075.51999999999</v>
      </c>
      <c r="F45" s="783">
        <v>612455.84999899997</v>
      </c>
      <c r="G45" s="787">
        <f t="shared" si="0"/>
        <v>3360184.0299989996</v>
      </c>
      <c r="H45" s="71"/>
      <c r="I45" s="4"/>
      <c r="J45" s="4"/>
      <c r="K45" s="4"/>
      <c r="L45" s="4"/>
      <c r="M45" s="4"/>
      <c r="N45" s="4"/>
      <c r="O45" s="4"/>
      <c r="P45" s="4"/>
      <c r="Q45" s="1"/>
      <c r="R45" s="1"/>
      <c r="BF45" s="104"/>
    </row>
    <row r="46" spans="1:58" hidden="1">
      <c r="A46" s="779">
        <v>41609</v>
      </c>
      <c r="B46" s="783">
        <v>1442464.15</v>
      </c>
      <c r="C46" s="784">
        <v>1055045.6100000001</v>
      </c>
      <c r="D46" s="783">
        <v>38817.919999999998</v>
      </c>
      <c r="E46" s="784">
        <v>235107.27</v>
      </c>
      <c r="F46" s="783">
        <v>623252.47999899997</v>
      </c>
      <c r="G46" s="787">
        <f t="shared" si="0"/>
        <v>3394687.4299989995</v>
      </c>
      <c r="H46" s="71"/>
      <c r="I46" s="4"/>
      <c r="J46" s="4"/>
      <c r="K46" s="4"/>
      <c r="L46" s="4"/>
      <c r="M46" s="4"/>
      <c r="N46" s="4"/>
      <c r="O46" s="4"/>
      <c r="P46" s="4"/>
      <c r="Q46" s="1"/>
      <c r="R46" s="1"/>
      <c r="BF46" s="104"/>
    </row>
    <row r="47" spans="1:58" hidden="1">
      <c r="A47" s="779">
        <v>41640</v>
      </c>
      <c r="B47" s="783">
        <v>1451598.58</v>
      </c>
      <c r="C47" s="784">
        <v>1069205.2899999998</v>
      </c>
      <c r="D47" s="783">
        <v>37462.410000000003</v>
      </c>
      <c r="E47" s="784">
        <v>264485.90999999997</v>
      </c>
      <c r="F47" s="783">
        <v>604810.92999999982</v>
      </c>
      <c r="G47" s="787">
        <f t="shared" si="0"/>
        <v>3427563.12</v>
      </c>
      <c r="H47" s="71"/>
      <c r="I47" s="4"/>
      <c r="J47" s="4"/>
      <c r="K47" s="4"/>
      <c r="L47" s="4"/>
      <c r="M47" s="4"/>
      <c r="N47" s="4"/>
      <c r="O47" s="4"/>
      <c r="P47" s="4"/>
      <c r="Q47" s="1"/>
      <c r="R47" s="1"/>
      <c r="BF47" s="104"/>
    </row>
    <row r="48" spans="1:58" hidden="1">
      <c r="A48" s="779">
        <v>41671</v>
      </c>
      <c r="B48" s="783">
        <v>1466015.49</v>
      </c>
      <c r="C48" s="784">
        <v>1083531.3699999999</v>
      </c>
      <c r="D48" s="783">
        <v>37290.97</v>
      </c>
      <c r="E48" s="784">
        <v>295179.69</v>
      </c>
      <c r="F48" s="783">
        <v>616981.33999999985</v>
      </c>
      <c r="G48" s="787">
        <f t="shared" si="0"/>
        <v>3498998.86</v>
      </c>
      <c r="H48" s="71"/>
      <c r="I48" s="4"/>
      <c r="J48" s="4"/>
      <c r="K48" s="4"/>
      <c r="L48" s="4"/>
      <c r="M48" s="4"/>
      <c r="N48" s="4"/>
      <c r="O48" s="4"/>
      <c r="P48" s="4"/>
      <c r="Q48" s="1"/>
      <c r="R48" s="1"/>
      <c r="BF48" s="104"/>
    </row>
    <row r="49" spans="1:58" hidden="1">
      <c r="A49" s="779">
        <v>41699</v>
      </c>
      <c r="B49" s="783">
        <v>1495074.34</v>
      </c>
      <c r="C49" s="784">
        <v>1106187.1099999999</v>
      </c>
      <c r="D49" s="783">
        <v>37395.83</v>
      </c>
      <c r="E49" s="784">
        <v>301816.88</v>
      </c>
      <c r="F49" s="783">
        <v>626670.67000000004</v>
      </c>
      <c r="G49" s="787">
        <f t="shared" si="0"/>
        <v>3567144.83</v>
      </c>
      <c r="H49" s="71"/>
      <c r="I49" s="4"/>
      <c r="J49" s="4"/>
      <c r="K49" s="4"/>
      <c r="L49" s="4"/>
      <c r="M49" s="4"/>
      <c r="N49" s="4"/>
      <c r="O49" s="4"/>
      <c r="P49" s="4"/>
      <c r="Q49" s="1"/>
      <c r="R49" s="1"/>
      <c r="BF49" s="104"/>
    </row>
    <row r="50" spans="1:58" hidden="1">
      <c r="A50" s="779">
        <v>41730</v>
      </c>
      <c r="B50" s="783">
        <v>1510587.96</v>
      </c>
      <c r="C50" s="784">
        <v>1109911.3999999999</v>
      </c>
      <c r="D50" s="783">
        <v>35805.74</v>
      </c>
      <c r="E50" s="784">
        <v>300506.75</v>
      </c>
      <c r="F50" s="783">
        <v>619432.21000000008</v>
      </c>
      <c r="G50" s="787">
        <f t="shared" si="0"/>
        <v>3576244.06</v>
      </c>
      <c r="H50" s="71"/>
      <c r="I50" s="4"/>
      <c r="J50" s="4"/>
      <c r="K50" s="4"/>
      <c r="L50" s="4"/>
      <c r="M50" s="4"/>
      <c r="N50" s="4"/>
      <c r="O50" s="4"/>
      <c r="P50" s="4"/>
      <c r="Q50" s="1"/>
      <c r="R50" s="1"/>
      <c r="BF50" s="104"/>
    </row>
    <row r="51" spans="1:58" hidden="1">
      <c r="A51" s="779">
        <v>41760</v>
      </c>
      <c r="B51" s="783">
        <v>1539945.73</v>
      </c>
      <c r="C51" s="784">
        <v>1137490.3</v>
      </c>
      <c r="D51" s="783">
        <v>36606.660000000003</v>
      </c>
      <c r="E51" s="784">
        <v>301459.27999999991</v>
      </c>
      <c r="F51" s="783">
        <v>619725</v>
      </c>
      <c r="G51" s="787">
        <f t="shared" si="0"/>
        <v>3635226.97</v>
      </c>
      <c r="H51" s="71"/>
      <c r="I51" s="4"/>
      <c r="J51" s="4"/>
      <c r="K51" s="4"/>
      <c r="L51" s="4"/>
      <c r="M51" s="4"/>
      <c r="N51" s="4"/>
      <c r="O51" s="4"/>
      <c r="P51" s="4"/>
      <c r="Q51" s="1"/>
      <c r="R51" s="1"/>
      <c r="BF51" s="104"/>
    </row>
    <row r="52" spans="1:58" hidden="1">
      <c r="A52" s="779">
        <v>41791</v>
      </c>
      <c r="B52" s="783">
        <v>1576750.38</v>
      </c>
      <c r="C52" s="784">
        <v>1188561.72</v>
      </c>
      <c r="D52" s="783">
        <v>38184.43</v>
      </c>
      <c r="E52" s="784">
        <v>308437.98</v>
      </c>
      <c r="F52" s="783">
        <v>651264.74</v>
      </c>
      <c r="G52" s="787">
        <f t="shared" si="0"/>
        <v>3763199.25</v>
      </c>
      <c r="H52" s="71"/>
      <c r="I52" s="4"/>
      <c r="J52" s="4"/>
      <c r="K52" s="4"/>
      <c r="L52" s="4"/>
      <c r="M52" s="4"/>
      <c r="N52" s="4"/>
      <c r="O52" s="4"/>
      <c r="P52" s="4"/>
      <c r="Q52" s="1"/>
      <c r="R52" s="1"/>
      <c r="BF52" s="104"/>
    </row>
    <row r="53" spans="1:58" hidden="1">
      <c r="A53" s="779">
        <v>41821</v>
      </c>
      <c r="B53" s="783">
        <v>1614055.4</v>
      </c>
      <c r="C53" s="784">
        <v>1236535.4400000002</v>
      </c>
      <c r="D53" s="783">
        <v>39336.890000000007</v>
      </c>
      <c r="E53" s="784">
        <v>282604.61000000004</v>
      </c>
      <c r="F53" s="783">
        <v>678698.09000000008</v>
      </c>
      <c r="G53" s="787">
        <f>SUM(B53:F53)</f>
        <v>3851230.4299999997</v>
      </c>
      <c r="H53" s="71"/>
      <c r="I53" s="4"/>
      <c r="J53" s="4"/>
      <c r="K53" s="4"/>
      <c r="L53" s="4"/>
      <c r="M53" s="4"/>
      <c r="N53" s="4"/>
      <c r="O53" s="4"/>
      <c r="P53" s="4"/>
      <c r="Q53" s="1"/>
      <c r="R53" s="1"/>
      <c r="BF53" s="104"/>
    </row>
    <row r="54" spans="1:58" hidden="1">
      <c r="A54" s="779">
        <v>41852</v>
      </c>
      <c r="B54" s="783">
        <v>1639426.6800000002</v>
      </c>
      <c r="C54" s="784">
        <v>1269613.3899999999</v>
      </c>
      <c r="D54" s="783">
        <v>40407.069999999992</v>
      </c>
      <c r="E54" s="784">
        <v>286401.41000000003</v>
      </c>
      <c r="F54" s="783">
        <v>698915.92</v>
      </c>
      <c r="G54" s="787">
        <f>SUM(B54:F54)</f>
        <v>3934764.47</v>
      </c>
      <c r="H54" s="71"/>
      <c r="I54" s="4"/>
      <c r="J54" s="4"/>
      <c r="K54" s="4"/>
      <c r="L54" s="4"/>
      <c r="M54" s="4"/>
      <c r="N54" s="4"/>
      <c r="O54" s="4"/>
      <c r="P54" s="4"/>
      <c r="Q54" s="1"/>
      <c r="R54" s="1"/>
      <c r="BF54" s="104"/>
    </row>
    <row r="55" spans="1:58" hidden="1">
      <c r="A55" s="779">
        <v>41883</v>
      </c>
      <c r="B55" s="783">
        <v>1661005.99</v>
      </c>
      <c r="C55" s="784">
        <v>1297663.3199999998</v>
      </c>
      <c r="D55" s="783">
        <v>41582.680000000008</v>
      </c>
      <c r="E55" s="784">
        <v>312035.75</v>
      </c>
      <c r="F55" s="783">
        <v>718723.89</v>
      </c>
      <c r="G55" s="787">
        <f t="shared" ref="G55:G60" si="1">SUM(B55:F55)</f>
        <v>4031011.63</v>
      </c>
      <c r="H55" s="71"/>
      <c r="I55" s="4"/>
      <c r="J55" s="4"/>
      <c r="K55" s="4"/>
      <c r="L55" s="4"/>
      <c r="M55" s="4"/>
      <c r="N55" s="4"/>
      <c r="O55" s="4"/>
      <c r="P55" s="4"/>
      <c r="Q55" s="1"/>
      <c r="R55" s="1"/>
      <c r="BF55" s="104"/>
    </row>
    <row r="56" spans="1:58" hidden="1">
      <c r="A56" s="779">
        <v>41913</v>
      </c>
      <c r="B56" s="783">
        <v>1679590.2200000002</v>
      </c>
      <c r="C56" s="784">
        <v>1324810.72</v>
      </c>
      <c r="D56" s="783">
        <v>41985.87</v>
      </c>
      <c r="E56" s="784">
        <v>337153.68000000005</v>
      </c>
      <c r="F56" s="783">
        <v>737455.89</v>
      </c>
      <c r="G56" s="787">
        <f t="shared" si="1"/>
        <v>4120996.3800000008</v>
      </c>
      <c r="H56" s="71"/>
      <c r="I56" s="4"/>
      <c r="J56" s="4"/>
      <c r="K56" s="4"/>
      <c r="L56" s="4"/>
      <c r="M56" s="4"/>
      <c r="N56" s="4"/>
      <c r="O56" s="4"/>
      <c r="P56" s="4"/>
      <c r="Q56" s="1"/>
      <c r="R56" s="1"/>
      <c r="BF56" s="104"/>
    </row>
    <row r="57" spans="1:58" hidden="1">
      <c r="A57" s="779">
        <v>41944</v>
      </c>
      <c r="B57" s="783">
        <v>1695317.8200000003</v>
      </c>
      <c r="C57" s="784">
        <v>1354738.59</v>
      </c>
      <c r="D57" s="783">
        <v>42470.04</v>
      </c>
      <c r="E57" s="784">
        <v>362259.01000000007</v>
      </c>
      <c r="F57" s="783">
        <v>746404.29</v>
      </c>
      <c r="G57" s="787">
        <f t="shared" si="1"/>
        <v>4201189.75</v>
      </c>
      <c r="H57" s="71"/>
      <c r="I57" s="4"/>
      <c r="J57" s="4"/>
      <c r="K57" s="4"/>
      <c r="L57" s="4"/>
      <c r="M57" s="4"/>
      <c r="N57" s="4"/>
      <c r="O57" s="4"/>
      <c r="P57" s="4"/>
      <c r="Q57" s="1"/>
      <c r="R57" s="1"/>
      <c r="BF57" s="104"/>
    </row>
    <row r="58" spans="1:58" hidden="1">
      <c r="A58" s="779">
        <v>41974</v>
      </c>
      <c r="B58" s="783">
        <v>1725705.6100000003</v>
      </c>
      <c r="C58" s="784">
        <v>1392208.82</v>
      </c>
      <c r="D58" s="783">
        <v>42943.53</v>
      </c>
      <c r="E58" s="784">
        <v>293763.17999999993</v>
      </c>
      <c r="F58" s="783">
        <v>797240.38000000012</v>
      </c>
      <c r="G58" s="787">
        <f t="shared" si="1"/>
        <v>4251861.5200000005</v>
      </c>
      <c r="H58" s="71"/>
      <c r="I58" s="4"/>
      <c r="J58" s="4"/>
      <c r="K58" s="4"/>
      <c r="L58" s="4"/>
      <c r="M58" s="4"/>
      <c r="N58" s="4"/>
      <c r="O58" s="4"/>
      <c r="P58" s="4"/>
      <c r="Q58" s="1"/>
      <c r="R58" s="1"/>
      <c r="BF58" s="104"/>
    </row>
    <row r="59" spans="1:58" hidden="1">
      <c r="A59" s="779">
        <v>42005</v>
      </c>
      <c r="B59" s="783">
        <v>1747653.19</v>
      </c>
      <c r="C59" s="784">
        <v>1426160.3100000003</v>
      </c>
      <c r="D59" s="783">
        <v>43396.92</v>
      </c>
      <c r="E59" s="784">
        <v>299553.36999999994</v>
      </c>
      <c r="F59" s="783">
        <v>802024.29</v>
      </c>
      <c r="G59" s="787">
        <f t="shared" si="1"/>
        <v>4318788.08</v>
      </c>
      <c r="H59" s="71"/>
      <c r="I59" s="4"/>
      <c r="J59" s="4"/>
      <c r="K59" s="4"/>
      <c r="L59" s="4"/>
      <c r="M59" s="4"/>
      <c r="N59" s="4"/>
      <c r="O59" s="4"/>
      <c r="P59" s="4"/>
      <c r="Q59" s="1"/>
      <c r="R59" s="1"/>
      <c r="BF59" s="104"/>
    </row>
    <row r="60" spans="1:58" hidden="1">
      <c r="A60" s="779">
        <v>42036</v>
      </c>
      <c r="B60" s="783">
        <v>1752500.7900000003</v>
      </c>
      <c r="C60" s="784">
        <v>1449889.84</v>
      </c>
      <c r="D60" s="783">
        <v>43456.52</v>
      </c>
      <c r="E60" s="784">
        <v>302216.93</v>
      </c>
      <c r="F60" s="783">
        <v>834260.10000000009</v>
      </c>
      <c r="G60" s="787">
        <f t="shared" si="1"/>
        <v>4382324.1800000006</v>
      </c>
      <c r="H60" s="71"/>
      <c r="I60" s="4"/>
      <c r="J60" s="4"/>
      <c r="K60" s="4"/>
      <c r="L60" s="4"/>
      <c r="M60" s="4"/>
      <c r="N60" s="4"/>
      <c r="O60" s="4"/>
      <c r="P60" s="4"/>
      <c r="Q60" s="1"/>
      <c r="R60" s="1"/>
      <c r="BF60" s="104"/>
    </row>
    <row r="61" spans="1:58" hidden="1">
      <c r="A61" s="779">
        <v>42064</v>
      </c>
      <c r="B61" s="783">
        <v>1763268.1300000004</v>
      </c>
      <c r="C61" s="784">
        <v>1485625.6600000001</v>
      </c>
      <c r="D61" s="783">
        <v>44035.98</v>
      </c>
      <c r="E61" s="784">
        <v>301804.34000000003</v>
      </c>
      <c r="F61" s="783">
        <v>837115.32000000018</v>
      </c>
      <c r="G61" s="787">
        <f t="shared" ref="G61:G66" si="2">SUM(B61:F61)</f>
        <v>4431849.4300000006</v>
      </c>
      <c r="H61" s="71"/>
      <c r="I61" s="4"/>
      <c r="J61" s="4"/>
      <c r="K61" s="4"/>
      <c r="L61" s="4"/>
      <c r="M61" s="4"/>
      <c r="N61" s="4"/>
      <c r="O61" s="4"/>
      <c r="P61" s="4"/>
      <c r="Q61" s="1"/>
      <c r="R61" s="1"/>
      <c r="BF61" s="104"/>
    </row>
    <row r="62" spans="1:58" hidden="1">
      <c r="A62" s="779">
        <v>42095</v>
      </c>
      <c r="B62" s="783">
        <v>1778979.1</v>
      </c>
      <c r="C62" s="784">
        <v>1525823.31</v>
      </c>
      <c r="D62" s="783">
        <v>44708.100000000006</v>
      </c>
      <c r="E62" s="784">
        <v>305201.37</v>
      </c>
      <c r="F62" s="783">
        <v>874997.9600000002</v>
      </c>
      <c r="G62" s="787">
        <f t="shared" si="2"/>
        <v>4529709.8400000008</v>
      </c>
      <c r="H62" s="71"/>
      <c r="I62" s="4"/>
      <c r="J62" s="4"/>
      <c r="K62" s="4"/>
      <c r="L62" s="4"/>
      <c r="M62" s="4"/>
      <c r="N62" s="4"/>
      <c r="O62" s="4"/>
      <c r="P62" s="4"/>
      <c r="Q62" s="1"/>
      <c r="R62" s="1"/>
      <c r="BF62" s="104"/>
    </row>
    <row r="63" spans="1:58" hidden="1">
      <c r="A63" s="779">
        <v>42125</v>
      </c>
      <c r="B63" s="783">
        <v>1796665.33</v>
      </c>
      <c r="C63" s="784">
        <v>1544681.29</v>
      </c>
      <c r="D63" s="783">
        <v>44361.79</v>
      </c>
      <c r="E63" s="784">
        <v>342348.81</v>
      </c>
      <c r="F63" s="783">
        <v>894743.58000000019</v>
      </c>
      <c r="G63" s="787">
        <f t="shared" si="2"/>
        <v>4622800.8000000007</v>
      </c>
      <c r="H63" s="71"/>
      <c r="I63" s="4"/>
      <c r="J63" s="4"/>
      <c r="K63" s="4"/>
      <c r="L63" s="4"/>
      <c r="M63" s="4"/>
      <c r="N63" s="4"/>
      <c r="O63" s="4"/>
      <c r="P63" s="4"/>
      <c r="Q63" s="1"/>
      <c r="R63" s="1"/>
      <c r="BF63" s="104"/>
    </row>
    <row r="64" spans="1:58" hidden="1">
      <c r="A64" s="779">
        <v>42156</v>
      </c>
      <c r="B64" s="783">
        <v>1812973.61</v>
      </c>
      <c r="C64" s="784">
        <v>1546320.39</v>
      </c>
      <c r="D64" s="783">
        <v>43557.200000000004</v>
      </c>
      <c r="E64" s="784">
        <v>311823.99999999994</v>
      </c>
      <c r="F64" s="783">
        <v>917172.3600000001</v>
      </c>
      <c r="G64" s="787">
        <f t="shared" si="2"/>
        <v>4631847.5600000005</v>
      </c>
      <c r="H64" s="71"/>
      <c r="I64" s="4"/>
      <c r="J64" s="4"/>
      <c r="K64" s="4"/>
      <c r="L64" s="4"/>
      <c r="M64" s="4"/>
      <c r="N64" s="4"/>
      <c r="O64" s="4"/>
      <c r="P64" s="4"/>
      <c r="Q64" s="1"/>
      <c r="R64" s="1"/>
      <c r="BF64" s="104"/>
    </row>
    <row r="65" spans="1:58" hidden="1">
      <c r="A65" s="779">
        <v>42186</v>
      </c>
      <c r="B65" s="783">
        <v>1827139.93</v>
      </c>
      <c r="C65" s="784">
        <v>1565652.1199999999</v>
      </c>
      <c r="D65" s="783">
        <v>43135.090000000004</v>
      </c>
      <c r="E65" s="784">
        <v>315989.02999999991</v>
      </c>
      <c r="F65" s="783">
        <v>939649.4099999998</v>
      </c>
      <c r="G65" s="787">
        <f t="shared" si="2"/>
        <v>4691565.5799999991</v>
      </c>
      <c r="H65" s="71"/>
      <c r="I65" s="4"/>
      <c r="J65" s="4"/>
      <c r="K65" s="4"/>
      <c r="L65" s="4"/>
      <c r="M65" s="4"/>
      <c r="N65" s="4"/>
      <c r="O65" s="4"/>
      <c r="P65" s="4"/>
      <c r="Q65" s="1"/>
      <c r="R65" s="1"/>
      <c r="BF65" s="104"/>
    </row>
    <row r="66" spans="1:58" hidden="1">
      <c r="A66" s="779">
        <v>42217</v>
      </c>
      <c r="B66" s="783">
        <v>1845393.6500000001</v>
      </c>
      <c r="C66" s="784">
        <v>1589870.6299999997</v>
      </c>
      <c r="D66" s="783">
        <v>42800.710000000006</v>
      </c>
      <c r="E66" s="784">
        <v>347833.97999999992</v>
      </c>
      <c r="F66" s="783">
        <v>958433.39999999991</v>
      </c>
      <c r="G66" s="787">
        <f t="shared" si="2"/>
        <v>4784332.3699999992</v>
      </c>
      <c r="H66" s="71"/>
      <c r="I66" s="4"/>
      <c r="J66" s="4"/>
      <c r="K66" s="4"/>
      <c r="L66" s="4"/>
      <c r="M66" s="4"/>
      <c r="N66" s="4"/>
      <c r="O66" s="4"/>
      <c r="P66" s="4"/>
      <c r="Q66" s="1"/>
      <c r="R66" s="1"/>
      <c r="BF66" s="104"/>
    </row>
    <row r="67" spans="1:58" hidden="1">
      <c r="A67" s="779">
        <v>42248</v>
      </c>
      <c r="B67" s="783">
        <v>1855382.34</v>
      </c>
      <c r="C67" s="784">
        <v>1607402.6199999996</v>
      </c>
      <c r="D67" s="783">
        <v>42695.579999999994</v>
      </c>
      <c r="E67" s="784">
        <v>351265.57</v>
      </c>
      <c r="F67" s="783">
        <v>969048.59999999986</v>
      </c>
      <c r="G67" s="787">
        <f t="shared" ref="G67:G78" si="3">SUM(B67:F67)</f>
        <v>4825794.71</v>
      </c>
      <c r="H67" s="71"/>
      <c r="I67" s="4"/>
      <c r="J67" s="4"/>
      <c r="K67" s="4"/>
      <c r="L67" s="4"/>
      <c r="M67" s="4"/>
      <c r="N67" s="4"/>
      <c r="O67" s="4"/>
      <c r="P67" s="4"/>
      <c r="Q67" s="1"/>
      <c r="R67" s="1"/>
      <c r="BF67" s="104"/>
    </row>
    <row r="68" spans="1:58" hidden="1">
      <c r="A68" s="779">
        <v>42278</v>
      </c>
      <c r="B68" s="783">
        <v>1872277.77</v>
      </c>
      <c r="C68" s="784">
        <v>1632695.4999999998</v>
      </c>
      <c r="D68" s="783">
        <v>42591.490000000005</v>
      </c>
      <c r="E68" s="784">
        <v>356800.53</v>
      </c>
      <c r="F68" s="783">
        <v>994659.09999999986</v>
      </c>
      <c r="G68" s="787">
        <f t="shared" si="3"/>
        <v>4899024.3899999997</v>
      </c>
      <c r="H68" s="71"/>
      <c r="I68" s="4"/>
      <c r="J68" s="4"/>
      <c r="K68" s="4"/>
      <c r="L68" s="4"/>
      <c r="M68" s="4"/>
      <c r="N68" s="4"/>
      <c r="O68" s="4"/>
      <c r="P68" s="4"/>
      <c r="Q68" s="1"/>
      <c r="R68" s="1"/>
      <c r="BF68" s="104"/>
    </row>
    <row r="69" spans="1:58" hidden="1">
      <c r="A69" s="779">
        <v>42309</v>
      </c>
      <c r="B69" s="783">
        <v>1889270.97</v>
      </c>
      <c r="C69" s="784">
        <v>1647801.0099999998</v>
      </c>
      <c r="D69" s="783">
        <v>42372.350000000006</v>
      </c>
      <c r="E69" s="784">
        <v>359767.12</v>
      </c>
      <c r="F69" s="783">
        <v>999463.7</v>
      </c>
      <c r="G69" s="787">
        <f>SUM(B69:F69)</f>
        <v>4938675.1499999994</v>
      </c>
      <c r="H69" s="71"/>
      <c r="I69" s="4"/>
      <c r="J69" s="4"/>
      <c r="K69" s="4"/>
      <c r="L69" s="4"/>
      <c r="M69" s="4"/>
      <c r="N69" s="4"/>
      <c r="O69" s="4"/>
      <c r="P69" s="4"/>
      <c r="Q69" s="1"/>
      <c r="R69" s="1"/>
      <c r="BF69" s="104"/>
    </row>
    <row r="70" spans="1:58" hidden="1">
      <c r="A70" s="779">
        <v>42339</v>
      </c>
      <c r="B70" s="783">
        <v>1905345.29</v>
      </c>
      <c r="C70" s="784">
        <v>1672278.15</v>
      </c>
      <c r="D70" s="783">
        <v>42649.87</v>
      </c>
      <c r="E70" s="784">
        <v>357909.53</v>
      </c>
      <c r="F70" s="783">
        <v>937164.72</v>
      </c>
      <c r="G70" s="787">
        <f t="shared" si="3"/>
        <v>4915347.5599999996</v>
      </c>
      <c r="H70" s="71"/>
      <c r="I70" s="4"/>
      <c r="J70" s="4"/>
      <c r="K70" s="4"/>
      <c r="L70" s="4"/>
      <c r="M70" s="4"/>
      <c r="N70" s="4"/>
      <c r="O70" s="4"/>
      <c r="P70" s="4"/>
      <c r="Q70" s="1"/>
      <c r="R70" s="1"/>
      <c r="BF70" s="104"/>
    </row>
    <row r="71" spans="1:58" hidden="1">
      <c r="A71" s="779">
        <v>42370</v>
      </c>
      <c r="B71" s="783">
        <v>1920177.1300000001</v>
      </c>
      <c r="C71" s="784">
        <v>1689755.6599999997</v>
      </c>
      <c r="D71" s="783">
        <v>41837.290000000008</v>
      </c>
      <c r="E71" s="784">
        <v>358819.29</v>
      </c>
      <c r="F71" s="783">
        <v>917400.75</v>
      </c>
      <c r="G71" s="787">
        <f t="shared" si="3"/>
        <v>4927990.12</v>
      </c>
      <c r="H71" s="71"/>
      <c r="I71" s="4"/>
      <c r="J71" s="4"/>
      <c r="K71" s="4"/>
      <c r="L71" s="4"/>
      <c r="M71" s="4"/>
      <c r="N71" s="4"/>
      <c r="O71" s="4"/>
      <c r="P71" s="4"/>
      <c r="Q71" s="1"/>
      <c r="R71" s="1"/>
      <c r="BF71" s="104"/>
    </row>
    <row r="72" spans="1:58" hidden="1">
      <c r="A72" s="779">
        <v>42401</v>
      </c>
      <c r="B72" s="783">
        <v>1948671.8699999999</v>
      </c>
      <c r="C72" s="784">
        <v>1727836.0799999998</v>
      </c>
      <c r="D72" s="783">
        <v>42455.25</v>
      </c>
      <c r="E72" s="784">
        <v>366076.98000000004</v>
      </c>
      <c r="F72" s="783">
        <v>923288.09000000008</v>
      </c>
      <c r="G72" s="787">
        <f t="shared" si="3"/>
        <v>5008328.2699999996</v>
      </c>
      <c r="H72" s="71"/>
      <c r="I72" s="4"/>
      <c r="J72" s="4"/>
      <c r="K72" s="4"/>
      <c r="L72" s="4"/>
      <c r="M72" s="4"/>
      <c r="N72" s="4"/>
      <c r="O72" s="4"/>
      <c r="P72" s="4"/>
      <c r="Q72" s="1"/>
      <c r="R72" s="1"/>
      <c r="BF72" s="104"/>
    </row>
    <row r="73" spans="1:58" hidden="1">
      <c r="A73" s="779">
        <v>42430</v>
      </c>
      <c r="B73" s="783">
        <v>1960709.92</v>
      </c>
      <c r="C73" s="784">
        <v>1749535.5299999998</v>
      </c>
      <c r="D73" s="783">
        <v>42375.450000000004</v>
      </c>
      <c r="E73" s="784">
        <v>372311.58000000007</v>
      </c>
      <c r="F73" s="783">
        <v>965694.66</v>
      </c>
      <c r="G73" s="787">
        <f t="shared" si="3"/>
        <v>5090627.1399999997</v>
      </c>
      <c r="H73" s="71"/>
      <c r="I73" s="4"/>
      <c r="J73" s="4"/>
      <c r="K73" s="4"/>
      <c r="L73" s="4"/>
      <c r="M73" s="4"/>
      <c r="N73" s="4"/>
      <c r="O73" s="4"/>
      <c r="P73" s="4"/>
      <c r="Q73" s="1"/>
      <c r="R73" s="1"/>
      <c r="BF73" s="104"/>
    </row>
    <row r="74" spans="1:58" hidden="1">
      <c r="A74" s="779">
        <v>42461</v>
      </c>
      <c r="B74" s="783">
        <v>1972092.6400000001</v>
      </c>
      <c r="C74" s="784">
        <v>1783278.32</v>
      </c>
      <c r="D74" s="783">
        <v>42754.3</v>
      </c>
      <c r="E74" s="784">
        <v>374344.31000000006</v>
      </c>
      <c r="F74" s="783">
        <v>931168.21000000008</v>
      </c>
      <c r="G74" s="787">
        <f t="shared" si="3"/>
        <v>5103637.78</v>
      </c>
      <c r="H74" s="71"/>
      <c r="I74" s="4"/>
      <c r="J74" s="4"/>
      <c r="K74" s="4"/>
      <c r="L74" s="4"/>
      <c r="M74" s="4"/>
      <c r="N74" s="4"/>
      <c r="O74" s="4"/>
      <c r="P74" s="4"/>
      <c r="Q74" s="1"/>
      <c r="R74" s="1"/>
      <c r="BF74" s="104"/>
    </row>
    <row r="75" spans="1:58" hidden="1">
      <c r="A75" s="779">
        <v>42491</v>
      </c>
      <c r="B75" s="783">
        <v>1951475.5000000002</v>
      </c>
      <c r="C75" s="784">
        <v>1779680.4</v>
      </c>
      <c r="D75" s="783">
        <v>43483.26</v>
      </c>
      <c r="E75" s="784">
        <v>369590.50000000006</v>
      </c>
      <c r="F75" s="783">
        <v>897686.67</v>
      </c>
      <c r="G75" s="787">
        <f t="shared" si="3"/>
        <v>5041916.33</v>
      </c>
      <c r="H75" s="71"/>
      <c r="I75" s="4"/>
      <c r="J75" s="4"/>
      <c r="K75" s="4"/>
      <c r="L75" s="4"/>
      <c r="M75" s="4"/>
      <c r="N75" s="4"/>
      <c r="O75" s="4"/>
      <c r="P75" s="4"/>
      <c r="Q75" s="1"/>
      <c r="R75" s="1"/>
      <c r="BF75" s="104"/>
    </row>
    <row r="76" spans="1:58" hidden="1">
      <c r="A76" s="779">
        <v>42522</v>
      </c>
      <c r="B76" s="783">
        <v>1926358.3300000005</v>
      </c>
      <c r="C76" s="784">
        <v>1777045.35</v>
      </c>
      <c r="D76" s="783">
        <v>44274.91</v>
      </c>
      <c r="E76" s="784">
        <v>397216.61000000004</v>
      </c>
      <c r="F76" s="783">
        <v>856454.15000000014</v>
      </c>
      <c r="G76" s="787">
        <f t="shared" si="3"/>
        <v>5001349.3500000006</v>
      </c>
      <c r="H76" s="71"/>
      <c r="I76" s="4"/>
      <c r="J76" s="4"/>
      <c r="K76" s="4"/>
      <c r="L76" s="4"/>
      <c r="M76" s="4"/>
      <c r="N76" s="4"/>
      <c r="O76" s="4"/>
      <c r="P76" s="4"/>
      <c r="Q76" s="1"/>
      <c r="R76" s="1"/>
      <c r="BF76" s="104"/>
    </row>
    <row r="77" spans="1:58" hidden="1">
      <c r="A77" s="779">
        <v>42552</v>
      </c>
      <c r="B77" s="783">
        <v>1907403.3800000004</v>
      </c>
      <c r="C77" s="784">
        <v>1777200.66</v>
      </c>
      <c r="D77" s="783">
        <v>44391.990000000005</v>
      </c>
      <c r="E77" s="784">
        <v>363173.01000000007</v>
      </c>
      <c r="F77" s="783">
        <v>885543.53</v>
      </c>
      <c r="G77" s="787">
        <f t="shared" si="3"/>
        <v>4977712.57</v>
      </c>
      <c r="H77" s="71"/>
      <c r="I77" s="4"/>
      <c r="J77" s="4"/>
      <c r="K77" s="4"/>
      <c r="L77" s="4"/>
      <c r="M77" s="4"/>
      <c r="N77" s="4"/>
      <c r="O77" s="4"/>
      <c r="P77" s="4"/>
      <c r="Q77" s="1"/>
      <c r="R77" s="1"/>
      <c r="BF77" s="104"/>
    </row>
    <row r="78" spans="1:58" hidden="1">
      <c r="A78" s="779">
        <v>42583</v>
      </c>
      <c r="B78" s="783">
        <v>1886988.09</v>
      </c>
      <c r="C78" s="784">
        <v>1777483.68</v>
      </c>
      <c r="D78" s="783">
        <v>45091.390000000007</v>
      </c>
      <c r="E78" s="784">
        <v>365032.39</v>
      </c>
      <c r="F78" s="783">
        <v>911521.04999999993</v>
      </c>
      <c r="G78" s="787">
        <f t="shared" si="3"/>
        <v>4986116.6000000006</v>
      </c>
      <c r="H78" s="71"/>
      <c r="I78" s="4"/>
      <c r="J78" s="4"/>
      <c r="K78" s="4"/>
      <c r="L78" s="4"/>
      <c r="M78" s="4"/>
      <c r="N78" s="4"/>
      <c r="O78" s="4"/>
      <c r="P78" s="4"/>
      <c r="Q78" s="1"/>
      <c r="R78" s="1"/>
      <c r="BF78" s="104"/>
    </row>
    <row r="79" spans="1:58" hidden="1">
      <c r="A79" s="779">
        <v>42614</v>
      </c>
      <c r="B79" s="783">
        <v>1882060.94</v>
      </c>
      <c r="C79" s="784">
        <v>1787378.8900000001</v>
      </c>
      <c r="D79" s="783">
        <v>46525.099999999991</v>
      </c>
      <c r="E79" s="784">
        <v>366034.99</v>
      </c>
      <c r="F79" s="783">
        <v>919937.54999999993</v>
      </c>
      <c r="G79" s="787">
        <f t="shared" ref="G79:G94" si="4">SUM(B79:F79)</f>
        <v>5001937.47</v>
      </c>
      <c r="H79" s="71"/>
      <c r="I79" s="4"/>
      <c r="J79" s="4"/>
      <c r="K79" s="4"/>
      <c r="L79" s="4"/>
      <c r="M79" s="4"/>
      <c r="N79" s="4"/>
      <c r="O79" s="4"/>
      <c r="P79" s="4"/>
      <c r="Q79" s="1"/>
      <c r="R79" s="1"/>
      <c r="BF79" s="104"/>
    </row>
    <row r="80" spans="1:58" hidden="1">
      <c r="A80" s="779">
        <v>42644</v>
      </c>
      <c r="B80" s="783">
        <v>1745063.44</v>
      </c>
      <c r="C80" s="784">
        <v>1659193.5</v>
      </c>
      <c r="D80" s="783">
        <v>43265.2</v>
      </c>
      <c r="E80" s="784">
        <v>335382.09999999998</v>
      </c>
      <c r="F80" s="783">
        <v>834348.54999999993</v>
      </c>
      <c r="G80" s="787">
        <f t="shared" si="4"/>
        <v>4617252.79</v>
      </c>
      <c r="H80" s="71"/>
      <c r="I80" s="4"/>
      <c r="J80" s="4"/>
      <c r="K80" s="4"/>
      <c r="L80" s="4"/>
      <c r="M80" s="4"/>
      <c r="N80" s="4"/>
      <c r="O80" s="4"/>
      <c r="P80" s="4"/>
      <c r="Q80" s="1"/>
      <c r="R80" s="1"/>
      <c r="BF80" s="104"/>
    </row>
    <row r="81" spans="1:58" hidden="1">
      <c r="A81" s="779">
        <v>42675</v>
      </c>
      <c r="B81" s="783">
        <v>1734852.52</v>
      </c>
      <c r="C81" s="784">
        <v>1663951.34</v>
      </c>
      <c r="D81" s="783">
        <v>44705.77</v>
      </c>
      <c r="E81" s="784">
        <v>335955.39000000007</v>
      </c>
      <c r="F81" s="783">
        <v>847349.47</v>
      </c>
      <c r="G81" s="787">
        <f t="shared" si="4"/>
        <v>4626814.49</v>
      </c>
      <c r="H81" s="71"/>
      <c r="I81" s="4"/>
      <c r="J81" s="4"/>
      <c r="K81" s="4"/>
      <c r="L81" s="4"/>
      <c r="M81" s="4"/>
      <c r="N81" s="4"/>
      <c r="O81" s="4"/>
      <c r="P81" s="4"/>
      <c r="Q81" s="1"/>
      <c r="R81" s="1"/>
      <c r="BF81" s="104"/>
    </row>
    <row r="82" spans="1:58" hidden="1">
      <c r="A82" s="779">
        <v>42705</v>
      </c>
      <c r="B82" s="783">
        <v>1711995.35</v>
      </c>
      <c r="C82" s="784">
        <v>1518387.11</v>
      </c>
      <c r="D82" s="783">
        <v>40977.620000000003</v>
      </c>
      <c r="E82" s="784">
        <v>305588.69</v>
      </c>
      <c r="F82" s="783">
        <v>811572.71000000008</v>
      </c>
      <c r="G82" s="787">
        <f t="shared" si="4"/>
        <v>4388521.4800000004</v>
      </c>
      <c r="H82" s="71"/>
      <c r="I82" s="4"/>
      <c r="J82" s="4"/>
      <c r="K82" s="4"/>
      <c r="L82" s="4"/>
      <c r="M82" s="4"/>
      <c r="N82" s="4"/>
      <c r="O82" s="4"/>
      <c r="P82" s="4"/>
      <c r="Q82" s="1"/>
      <c r="R82" s="1"/>
      <c r="BF82" s="104"/>
    </row>
    <row r="83" spans="1:58" hidden="1">
      <c r="A83" s="1181">
        <v>42736</v>
      </c>
      <c r="B83" s="1182">
        <v>1701711.9</v>
      </c>
      <c r="C83" s="1182">
        <v>1507789.86</v>
      </c>
      <c r="D83" s="777">
        <v>43073.5</v>
      </c>
      <c r="E83" s="1182">
        <v>274375.52</v>
      </c>
      <c r="F83" s="1182">
        <v>836490.5</v>
      </c>
      <c r="G83" s="1184">
        <f t="shared" si="4"/>
        <v>4363441.2799999993</v>
      </c>
      <c r="H83" s="71"/>
      <c r="I83" s="4"/>
      <c r="J83" s="4"/>
      <c r="K83" s="4"/>
      <c r="L83" s="4"/>
      <c r="M83" s="4"/>
      <c r="N83" s="4"/>
      <c r="O83" s="4"/>
      <c r="P83" s="4"/>
      <c r="Q83" s="1"/>
      <c r="R83" s="1"/>
      <c r="BF83" s="104"/>
    </row>
    <row r="84" spans="1:58" hidden="1">
      <c r="A84" s="1141">
        <v>42767</v>
      </c>
      <c r="B84" s="1183">
        <v>1723974.4799999997</v>
      </c>
      <c r="C84" s="1183">
        <v>1490598.01</v>
      </c>
      <c r="D84" s="781">
        <v>43571.15</v>
      </c>
      <c r="E84" s="1183">
        <v>235119.01</v>
      </c>
      <c r="F84" s="1183">
        <v>802267.11</v>
      </c>
      <c r="G84" s="1185">
        <f t="shared" si="4"/>
        <v>4295529.76</v>
      </c>
      <c r="H84" s="71"/>
      <c r="I84" s="4"/>
      <c r="J84" s="4"/>
      <c r="K84" s="4"/>
      <c r="L84" s="4"/>
      <c r="M84" s="4"/>
      <c r="N84" s="4"/>
      <c r="O84" s="4"/>
      <c r="P84" s="4"/>
      <c r="Q84" s="1"/>
      <c r="R84" s="1"/>
      <c r="BF84" s="104"/>
    </row>
    <row r="85" spans="1:58" hidden="1">
      <c r="A85" s="1141">
        <v>42795</v>
      </c>
      <c r="B85" s="1183">
        <v>1721922.8900000001</v>
      </c>
      <c r="C85" s="1183">
        <v>1512349.1</v>
      </c>
      <c r="D85" s="781">
        <v>45092.75</v>
      </c>
      <c r="E85" s="1183">
        <v>193279.86</v>
      </c>
      <c r="F85" s="1183">
        <v>817825</v>
      </c>
      <c r="G85" s="1185">
        <f t="shared" si="4"/>
        <v>4290469.5999999996</v>
      </c>
      <c r="H85" s="71"/>
      <c r="I85" s="4"/>
      <c r="J85" s="4"/>
      <c r="K85" s="4"/>
      <c r="L85" s="4"/>
      <c r="M85" s="374"/>
      <c r="N85" s="4"/>
      <c r="O85" s="4"/>
      <c r="P85" s="4"/>
      <c r="Q85" s="1"/>
      <c r="R85" s="1"/>
      <c r="BF85" s="104"/>
    </row>
    <row r="86" spans="1:58" hidden="1">
      <c r="A86" s="1141">
        <v>42826</v>
      </c>
      <c r="B86" s="1183">
        <v>1754921.0599999998</v>
      </c>
      <c r="C86" s="1183">
        <v>1511716.91</v>
      </c>
      <c r="D86" s="781">
        <v>44922.280000000006</v>
      </c>
      <c r="E86" s="1183">
        <v>154581.53</v>
      </c>
      <c r="F86" s="1183">
        <v>844884.4</v>
      </c>
      <c r="G86" s="1185">
        <f t="shared" si="4"/>
        <v>4311026.18</v>
      </c>
      <c r="H86" s="71"/>
      <c r="I86" s="4"/>
      <c r="J86" s="4"/>
      <c r="K86" s="4"/>
      <c r="L86" s="4"/>
      <c r="M86" s="374"/>
      <c r="N86" s="1"/>
      <c r="O86" s="1"/>
      <c r="P86" s="1"/>
      <c r="Q86" s="1"/>
      <c r="R86" s="1"/>
      <c r="BF86" s="104"/>
    </row>
    <row r="87" spans="1:58" hidden="1">
      <c r="A87" s="1141">
        <v>42856</v>
      </c>
      <c r="B87" s="1183">
        <v>1775780.99</v>
      </c>
      <c r="C87" s="1183">
        <v>1560748.0599999998</v>
      </c>
      <c r="D87" s="781">
        <v>45886.67</v>
      </c>
      <c r="E87" s="1183">
        <v>385388.21</v>
      </c>
      <c r="F87" s="1183">
        <v>900919.29</v>
      </c>
      <c r="G87" s="1185">
        <f t="shared" si="4"/>
        <v>4668723.22</v>
      </c>
      <c r="H87" s="71"/>
      <c r="I87" s="4"/>
      <c r="J87" s="4"/>
      <c r="K87" s="4"/>
      <c r="L87" s="4"/>
      <c r="M87" s="374"/>
      <c r="N87" s="4"/>
      <c r="O87" s="4"/>
      <c r="P87" s="4"/>
      <c r="Q87" s="1"/>
      <c r="R87" s="1"/>
      <c r="AZ87" s="104"/>
    </row>
    <row r="88" spans="1:58" hidden="1">
      <c r="A88" s="1141">
        <v>42887</v>
      </c>
      <c r="B88" s="1183">
        <v>1791767.21</v>
      </c>
      <c r="C88" s="1183">
        <v>1759101.68</v>
      </c>
      <c r="D88" s="781">
        <v>51100.97</v>
      </c>
      <c r="E88" s="1183">
        <v>388875.01999999996</v>
      </c>
      <c r="F88" s="1183">
        <v>948349.25</v>
      </c>
      <c r="G88" s="1185">
        <f t="shared" si="4"/>
        <v>4939194.13</v>
      </c>
      <c r="H88" s="71"/>
      <c r="I88" s="4"/>
      <c r="J88" s="4"/>
      <c r="K88" s="4"/>
      <c r="L88" s="4"/>
      <c r="M88" s="374"/>
      <c r="N88" s="4"/>
      <c r="O88" s="4"/>
      <c r="P88" s="4"/>
      <c r="Q88" s="1"/>
      <c r="R88" s="1"/>
      <c r="BF88" s="104"/>
    </row>
    <row r="89" spans="1:58" hidden="1">
      <c r="A89" s="1141">
        <v>42917</v>
      </c>
      <c r="B89" s="1183">
        <v>1795208.89</v>
      </c>
      <c r="C89" s="1183">
        <v>1757614.95</v>
      </c>
      <c r="D89" s="781">
        <v>52373.59</v>
      </c>
      <c r="E89" s="1183">
        <v>384111.84</v>
      </c>
      <c r="F89" s="1183">
        <v>901661.48</v>
      </c>
      <c r="G89" s="1185">
        <f t="shared" si="4"/>
        <v>4890970.75</v>
      </c>
      <c r="H89" s="71"/>
      <c r="I89" s="4"/>
      <c r="J89" s="4"/>
      <c r="K89" s="4"/>
      <c r="L89" s="1142"/>
      <c r="M89" s="1128"/>
      <c r="N89" s="4"/>
      <c r="O89" s="4"/>
      <c r="P89" s="4"/>
      <c r="Q89" s="1"/>
      <c r="R89" s="1"/>
      <c r="BF89" s="104"/>
    </row>
    <row r="90" spans="1:58" hidden="1">
      <c r="A90" s="1141">
        <v>42948</v>
      </c>
      <c r="B90" s="1183">
        <v>1798102.27</v>
      </c>
      <c r="C90" s="1183">
        <v>1755588.79</v>
      </c>
      <c r="D90" s="781">
        <v>53016.819999999992</v>
      </c>
      <c r="E90" s="1183">
        <v>377898.38</v>
      </c>
      <c r="F90" s="1183">
        <v>885263.55</v>
      </c>
      <c r="G90" s="1185">
        <f t="shared" si="4"/>
        <v>4869869.8099999996</v>
      </c>
      <c r="H90" s="2"/>
      <c r="I90" s="1142"/>
      <c r="J90" s="1142"/>
      <c r="K90" s="1143"/>
      <c r="L90" s="1142"/>
      <c r="M90" s="1128"/>
      <c r="N90" s="4"/>
      <c r="O90" s="4"/>
      <c r="P90" s="4"/>
      <c r="Q90" s="1"/>
      <c r="R90" s="1"/>
      <c r="BF90" s="104"/>
    </row>
    <row r="91" spans="1:58" hidden="1">
      <c r="A91" s="1141">
        <v>42979</v>
      </c>
      <c r="B91" s="1183">
        <v>1801428.8599999999</v>
      </c>
      <c r="C91" s="1183">
        <v>1748391.1700000002</v>
      </c>
      <c r="D91" s="781">
        <v>52797.600000000006</v>
      </c>
      <c r="E91" s="1183">
        <v>347829.85</v>
      </c>
      <c r="F91" s="1183">
        <v>879962.27</v>
      </c>
      <c r="G91" s="1185">
        <f t="shared" si="4"/>
        <v>4830409.75</v>
      </c>
      <c r="H91" s="2"/>
      <c r="I91" s="1142"/>
      <c r="J91" s="1142"/>
      <c r="K91" s="1143"/>
      <c r="L91" s="1142"/>
      <c r="M91" s="1128"/>
      <c r="N91" s="4"/>
      <c r="O91" s="4"/>
      <c r="P91" s="4"/>
      <c r="Q91" s="1"/>
      <c r="R91" s="1"/>
      <c r="BF91" s="104"/>
    </row>
    <row r="92" spans="1:58">
      <c r="A92" s="1141">
        <v>43009</v>
      </c>
      <c r="B92" s="1183">
        <v>1933922.4</v>
      </c>
      <c r="C92" s="1183">
        <v>1875778.36</v>
      </c>
      <c r="D92" s="781">
        <v>56801.390000000007</v>
      </c>
      <c r="E92" s="1183">
        <v>347829.85</v>
      </c>
      <c r="F92" s="1183">
        <v>953463.87</v>
      </c>
      <c r="G92" s="1185">
        <f t="shared" si="4"/>
        <v>5167795.87</v>
      </c>
      <c r="H92" s="2"/>
      <c r="I92" s="1142"/>
      <c r="J92" s="1142"/>
      <c r="K92" s="1143"/>
      <c r="L92" s="1142"/>
      <c r="M92" s="1128"/>
      <c r="N92" s="4"/>
      <c r="O92" s="4"/>
      <c r="P92" s="4"/>
      <c r="Q92" s="1"/>
      <c r="R92" s="1"/>
      <c r="BF92" s="104"/>
    </row>
    <row r="93" spans="1:58">
      <c r="A93" s="1141">
        <v>43040</v>
      </c>
      <c r="B93" s="1183">
        <v>1943935.8900000001</v>
      </c>
      <c r="C93" s="1183">
        <v>1890515.79</v>
      </c>
      <c r="D93" s="781">
        <v>56819.960000000006</v>
      </c>
      <c r="E93" s="1183">
        <v>319184.64000000001</v>
      </c>
      <c r="F93" s="1183">
        <v>951081.20999999985</v>
      </c>
      <c r="G93" s="1185">
        <f t="shared" si="4"/>
        <v>5161537.49</v>
      </c>
      <c r="H93" s="2"/>
      <c r="I93" s="1142"/>
      <c r="J93" s="1142"/>
      <c r="K93" s="1143"/>
      <c r="L93" s="1142"/>
      <c r="M93" s="1128"/>
      <c r="N93" s="4"/>
      <c r="O93" s="4"/>
      <c r="P93" s="4"/>
      <c r="Q93" s="1"/>
      <c r="R93" s="1"/>
      <c r="BF93" s="104"/>
    </row>
    <row r="94" spans="1:58">
      <c r="A94" s="1141">
        <v>43070</v>
      </c>
      <c r="B94" s="1183">
        <v>1940710.02</v>
      </c>
      <c r="C94" s="1183">
        <v>1890075.51</v>
      </c>
      <c r="D94" s="781">
        <v>55540.680000000008</v>
      </c>
      <c r="E94" s="1183">
        <v>288911.14</v>
      </c>
      <c r="F94" s="1183">
        <v>935978.74000000011</v>
      </c>
      <c r="G94" s="1185">
        <f t="shared" si="4"/>
        <v>5111216.0900000008</v>
      </c>
      <c r="H94" s="2"/>
      <c r="I94" s="1142"/>
      <c r="J94" s="1142"/>
      <c r="K94" s="1143"/>
      <c r="L94" s="1142"/>
      <c r="M94" s="1128"/>
      <c r="N94" s="4"/>
      <c r="O94" s="4"/>
      <c r="P94" s="4"/>
      <c r="Q94" s="1"/>
      <c r="R94" s="1"/>
      <c r="BF94" s="104"/>
    </row>
    <row r="95" spans="1:58" s="1257" customFormat="1">
      <c r="A95" s="1141">
        <v>43101</v>
      </c>
      <c r="B95" s="1183">
        <v>1937829.91</v>
      </c>
      <c r="C95" s="1183">
        <v>1906482.02</v>
      </c>
      <c r="D95" s="781">
        <v>54956.82</v>
      </c>
      <c r="E95" s="1183">
        <v>386706.26999999996</v>
      </c>
      <c r="F95" s="1183">
        <v>996390.11999999988</v>
      </c>
      <c r="G95" s="1185">
        <f t="shared" ref="G95:G101" si="5">SUM(B95:F95)</f>
        <v>5282365.1399999997</v>
      </c>
      <c r="H95" s="2"/>
      <c r="I95" s="1142"/>
      <c r="J95" s="1142"/>
      <c r="K95" s="1143"/>
      <c r="L95" s="1142"/>
      <c r="M95" s="1128"/>
      <c r="N95" s="1258"/>
      <c r="O95" s="1258"/>
      <c r="P95" s="1258"/>
      <c r="BF95" s="104"/>
    </row>
    <row r="96" spans="1:58" s="1257" customFormat="1">
      <c r="A96" s="1141">
        <v>43132</v>
      </c>
      <c r="B96" s="1183">
        <v>1939115.7699999998</v>
      </c>
      <c r="C96" s="1183">
        <v>1915387.63</v>
      </c>
      <c r="D96" s="781">
        <v>54158.82</v>
      </c>
      <c r="E96" s="1183">
        <v>381208.95</v>
      </c>
      <c r="F96" s="1183">
        <v>947954.64999999979</v>
      </c>
      <c r="G96" s="1185">
        <f t="shared" si="5"/>
        <v>5237825.8199999984</v>
      </c>
      <c r="H96" s="2"/>
      <c r="I96" s="1142"/>
      <c r="J96" s="1142"/>
      <c r="K96" s="1143"/>
      <c r="L96" s="1142"/>
      <c r="M96" s="1128"/>
      <c r="N96" s="1258"/>
      <c r="O96" s="1258"/>
      <c r="P96" s="1258"/>
      <c r="BF96" s="104"/>
    </row>
    <row r="97" spans="1:58" s="1257" customFormat="1">
      <c r="A97" s="1141">
        <v>43160</v>
      </c>
      <c r="B97" s="1183">
        <v>1941083.02</v>
      </c>
      <c r="C97" s="1183">
        <v>1926612.6700000002</v>
      </c>
      <c r="D97" s="781">
        <v>54087.169999999991</v>
      </c>
      <c r="E97" s="1183">
        <v>379544.17999999993</v>
      </c>
      <c r="F97" s="1183">
        <v>943243.7699999999</v>
      </c>
      <c r="G97" s="1185">
        <f t="shared" si="5"/>
        <v>5244570.8099999996</v>
      </c>
      <c r="H97" s="2"/>
      <c r="I97" s="1142"/>
      <c r="J97" s="1142"/>
      <c r="K97" s="1143"/>
      <c r="L97" s="1142"/>
      <c r="M97" s="1128"/>
      <c r="N97" s="1258"/>
      <c r="O97" s="1258"/>
      <c r="P97" s="1258"/>
      <c r="BF97" s="104"/>
    </row>
    <row r="98" spans="1:58" s="1257" customFormat="1">
      <c r="A98" s="1141">
        <v>43191</v>
      </c>
      <c r="B98" s="1183">
        <v>1914237.5</v>
      </c>
      <c r="C98" s="1183">
        <v>1929162.1100000003</v>
      </c>
      <c r="D98" s="781">
        <v>53247.56</v>
      </c>
      <c r="E98" s="1183">
        <v>375521.55</v>
      </c>
      <c r="F98" s="1183">
        <v>919001.77999999991</v>
      </c>
      <c r="G98" s="1185">
        <f t="shared" si="5"/>
        <v>5191170.5000000009</v>
      </c>
      <c r="H98" s="2"/>
      <c r="I98" s="1142"/>
      <c r="J98" s="1142"/>
      <c r="K98" s="1143"/>
      <c r="L98" s="1142"/>
      <c r="M98" s="1128"/>
      <c r="N98" s="1258"/>
      <c r="O98" s="1258"/>
      <c r="P98" s="1258"/>
      <c r="BF98" s="104"/>
    </row>
    <row r="99" spans="1:58" s="1820" customFormat="1">
      <c r="A99" s="1141">
        <v>43221</v>
      </c>
      <c r="B99" s="1183">
        <v>1928978.19</v>
      </c>
      <c r="C99" s="1183">
        <v>1960658.62</v>
      </c>
      <c r="D99" s="781">
        <v>53473.66</v>
      </c>
      <c r="E99" s="1183">
        <v>377135.69</v>
      </c>
      <c r="F99" s="1183">
        <v>888732.52</v>
      </c>
      <c r="G99" s="1185">
        <f t="shared" si="5"/>
        <v>5208978.68</v>
      </c>
      <c r="H99" s="2"/>
      <c r="I99" s="1142"/>
      <c r="J99" s="1142"/>
      <c r="K99" s="1143"/>
      <c r="L99" s="1142"/>
      <c r="M99" s="1128"/>
      <c r="N99" s="1830"/>
      <c r="O99" s="1830"/>
      <c r="P99" s="1830"/>
      <c r="BF99" s="104"/>
    </row>
    <row r="100" spans="1:58" s="2638" customFormat="1">
      <c r="A100" s="1141">
        <v>43252</v>
      </c>
      <c r="B100" s="1183">
        <v>1929735.36</v>
      </c>
      <c r="C100" s="1183">
        <v>1982189.34</v>
      </c>
      <c r="D100" s="781">
        <v>53034.16</v>
      </c>
      <c r="E100" s="1183">
        <v>377160.18</v>
      </c>
      <c r="F100" s="1183">
        <v>876312.54</v>
      </c>
      <c r="G100" s="1185">
        <f t="shared" ref="G100" si="6">SUM(B100:F100)</f>
        <v>5218431.58</v>
      </c>
      <c r="H100" s="2"/>
      <c r="I100" s="1142"/>
      <c r="J100" s="1142"/>
      <c r="K100" s="1143"/>
      <c r="L100" s="1142"/>
      <c r="M100" s="1128"/>
      <c r="N100" s="2639"/>
      <c r="O100" s="2639"/>
      <c r="P100" s="2639"/>
      <c r="BF100" s="2651"/>
    </row>
    <row r="101" spans="1:58" s="1820" customFormat="1">
      <c r="A101" s="1141">
        <v>43282</v>
      </c>
      <c r="B101" s="1183">
        <v>1936439.97</v>
      </c>
      <c r="C101" s="1183">
        <v>2005807.88</v>
      </c>
      <c r="D101" s="781">
        <v>51805.11</v>
      </c>
      <c r="E101" s="1183">
        <v>377527.45</v>
      </c>
      <c r="F101" s="1183">
        <v>841159.17</v>
      </c>
      <c r="G101" s="1185">
        <f t="shared" si="5"/>
        <v>5212739.5799999991</v>
      </c>
      <c r="H101" s="2"/>
      <c r="I101" s="1142"/>
      <c r="J101" s="1142"/>
      <c r="K101" s="1143"/>
      <c r="L101" s="1142"/>
      <c r="M101" s="1128"/>
      <c r="N101" s="1830"/>
      <c r="O101" s="1830"/>
      <c r="P101" s="1830"/>
      <c r="BF101" s="104"/>
    </row>
    <row r="102" spans="1:58" s="2638" customFormat="1">
      <c r="A102" s="1141">
        <v>43313</v>
      </c>
      <c r="B102" s="1183">
        <v>1951659.4199999997</v>
      </c>
      <c r="C102" s="1183">
        <v>2043093.37</v>
      </c>
      <c r="D102" s="781">
        <v>50426.55000000001</v>
      </c>
      <c r="E102" s="1183">
        <v>380263.68999999994</v>
      </c>
      <c r="F102" s="1183">
        <v>816410.42999999993</v>
      </c>
      <c r="G102" s="1185">
        <f t="shared" ref="G102:G103" si="7">SUM(B102:F102)</f>
        <v>5241853.459999999</v>
      </c>
      <c r="H102" s="2"/>
      <c r="I102" s="1142"/>
      <c r="J102" s="1142"/>
      <c r="K102" s="1143"/>
      <c r="L102" s="1142"/>
      <c r="M102" s="1128"/>
      <c r="N102" s="2639"/>
      <c r="O102" s="2639"/>
      <c r="P102" s="2639"/>
      <c r="BF102" s="2651"/>
    </row>
    <row r="103" spans="1:58" s="2638" customFormat="1" ht="13.5" thickBot="1">
      <c r="A103" s="1141">
        <v>43344</v>
      </c>
      <c r="B103" s="1183">
        <v>1960228</v>
      </c>
      <c r="C103" s="1183">
        <v>2080823</v>
      </c>
      <c r="D103" s="781">
        <v>49790</v>
      </c>
      <c r="E103" s="1183">
        <v>383051</v>
      </c>
      <c r="F103" s="1183">
        <v>794590.63000000012</v>
      </c>
      <c r="G103" s="1185">
        <f t="shared" si="7"/>
        <v>5268482.63</v>
      </c>
      <c r="H103" s="2"/>
      <c r="I103" s="1142"/>
      <c r="J103" s="1142"/>
      <c r="K103" s="1143"/>
      <c r="L103" s="1142"/>
      <c r="M103" s="1128"/>
      <c r="N103" s="2639"/>
      <c r="O103" s="2639"/>
      <c r="P103" s="2639"/>
      <c r="BF103" s="2651"/>
    </row>
    <row r="104" spans="1:58" ht="13.5" thickBot="1">
      <c r="A104" s="1186" t="s">
        <v>165</v>
      </c>
      <c r="B104" s="1187">
        <f>B103/B101-1</f>
        <v>1.2284413856629817E-2</v>
      </c>
      <c r="C104" s="1187">
        <f t="shared" ref="C104:G104" si="8">C103/C101-1</f>
        <v>3.7398955676652301E-2</v>
      </c>
      <c r="D104" s="1187">
        <f t="shared" si="8"/>
        <v>-3.8897900226444904E-2</v>
      </c>
      <c r="E104" s="1187">
        <f t="shared" si="8"/>
        <v>1.4630856643669254E-2</v>
      </c>
      <c r="F104" s="1187">
        <f t="shared" si="8"/>
        <v>-5.5362340043204838E-2</v>
      </c>
      <c r="G104" s="1187">
        <f t="shared" si="8"/>
        <v>1.0693618805334815E-2</v>
      </c>
      <c r="H104" s="2"/>
      <c r="I104" s="1142"/>
      <c r="J104" s="1142"/>
      <c r="K104" s="1143"/>
      <c r="L104" s="4"/>
      <c r="M104" s="1144"/>
      <c r="N104" s="41"/>
      <c r="O104" s="41"/>
      <c r="P104" s="41"/>
      <c r="Q104" s="41"/>
      <c r="R104" s="1"/>
    </row>
    <row r="105" spans="1:58" s="4" customFormat="1">
      <c r="H105" s="41"/>
      <c r="I105" s="41"/>
      <c r="J105" s="41"/>
      <c r="L105" s="41"/>
      <c r="M105" s="1144"/>
      <c r="N105" s="41"/>
      <c r="O105" s="41"/>
      <c r="P105" s="30"/>
      <c r="Q105" s="30"/>
      <c r="R105" s="41"/>
    </row>
    <row r="106" spans="1:58">
      <c r="A106" s="4"/>
      <c r="B106" s="4"/>
      <c r="C106" s="4"/>
      <c r="D106" s="4"/>
      <c r="E106" s="4"/>
      <c r="F106" s="4"/>
      <c r="G106" s="4"/>
      <c r="J106" s="41"/>
      <c r="K106" s="41"/>
      <c r="L106" s="41"/>
      <c r="M106" s="41"/>
      <c r="N106" s="41"/>
      <c r="O106" s="41"/>
    </row>
    <row r="107" spans="1:58">
      <c r="A107" s="4"/>
      <c r="B107" s="4"/>
      <c r="C107" s="4"/>
      <c r="D107" s="4"/>
      <c r="E107" s="4"/>
      <c r="F107" s="4"/>
      <c r="G107" s="4"/>
      <c r="J107" s="41"/>
      <c r="K107" s="41"/>
      <c r="L107" s="41"/>
      <c r="M107" s="41"/>
      <c r="N107" s="41"/>
      <c r="O107" s="41"/>
    </row>
    <row r="108" spans="1:58">
      <c r="A108" s="4"/>
      <c r="B108" s="4"/>
      <c r="C108" s="4"/>
      <c r="D108" s="4"/>
      <c r="E108" s="4"/>
      <c r="F108" s="4"/>
      <c r="G108" s="4"/>
      <c r="J108" s="41"/>
      <c r="K108" s="41"/>
      <c r="L108" s="41"/>
      <c r="M108" s="41"/>
      <c r="N108" s="41"/>
      <c r="O108" s="41"/>
    </row>
    <row r="109" spans="1:58">
      <c r="A109" s="4"/>
      <c r="B109" s="4"/>
      <c r="C109" s="4"/>
      <c r="D109" s="4"/>
      <c r="E109" s="4"/>
      <c r="F109" s="4"/>
      <c r="G109" s="4"/>
      <c r="J109" s="41"/>
      <c r="K109" s="41"/>
      <c r="L109" s="41"/>
      <c r="M109" s="41"/>
      <c r="N109" s="41"/>
      <c r="O109" s="41"/>
    </row>
    <row r="110" spans="1:58">
      <c r="A110" s="4"/>
      <c r="B110" s="4"/>
      <c r="C110" s="4"/>
      <c r="D110" s="4"/>
      <c r="E110" s="4"/>
      <c r="F110" s="4"/>
      <c r="G110" s="4"/>
      <c r="J110" s="41"/>
      <c r="K110" s="41"/>
      <c r="L110" s="41"/>
      <c r="M110" s="41"/>
      <c r="N110" s="41"/>
      <c r="O110" s="41"/>
    </row>
    <row r="111" spans="1:58">
      <c r="A111" s="4"/>
      <c r="B111" s="4"/>
      <c r="C111" s="4"/>
      <c r="D111" s="4"/>
      <c r="E111" s="4"/>
      <c r="F111" s="4"/>
      <c r="G111" s="4"/>
      <c r="J111" s="41"/>
      <c r="K111" s="41"/>
      <c r="L111" s="41"/>
      <c r="M111" s="41"/>
      <c r="N111" s="41"/>
      <c r="O111" s="41"/>
    </row>
    <row r="112" spans="1:58">
      <c r="A112" s="4"/>
      <c r="B112" s="4"/>
      <c r="C112" s="4"/>
      <c r="D112" s="4"/>
      <c r="E112" s="4"/>
      <c r="F112" s="4"/>
      <c r="G112" s="4"/>
      <c r="J112" s="41"/>
      <c r="K112" s="41"/>
      <c r="L112" s="41"/>
      <c r="M112" s="41"/>
      <c r="N112" s="41"/>
      <c r="O112" s="41"/>
    </row>
    <row r="113" spans="1:15">
      <c r="A113" s="4"/>
      <c r="B113" s="4"/>
      <c r="C113" s="4"/>
      <c r="D113" s="4"/>
      <c r="E113" s="4"/>
      <c r="F113" s="4"/>
      <c r="G113" s="4"/>
      <c r="J113" s="41"/>
      <c r="K113" s="41"/>
      <c r="L113" s="41"/>
      <c r="M113" s="41"/>
      <c r="N113" s="41"/>
      <c r="O113" s="41"/>
    </row>
    <row r="114" spans="1:15">
      <c r="A114" s="4"/>
      <c r="B114" s="4"/>
      <c r="C114" s="4"/>
      <c r="D114" s="4"/>
      <c r="E114" s="4"/>
      <c r="F114" s="4"/>
      <c r="G114" s="4"/>
      <c r="J114" s="41"/>
      <c r="K114" s="41"/>
      <c r="L114" s="41"/>
      <c r="M114" s="41"/>
      <c r="N114" s="41"/>
      <c r="O114" s="41"/>
    </row>
    <row r="115" spans="1:15">
      <c r="A115" s="4"/>
      <c r="B115" s="4"/>
      <c r="C115" s="4"/>
      <c r="D115" s="4"/>
      <c r="E115" s="4"/>
      <c r="F115" s="4"/>
      <c r="G115" s="4"/>
      <c r="J115" s="41"/>
      <c r="K115" s="41"/>
      <c r="L115" s="41"/>
      <c r="M115" s="41"/>
      <c r="N115" s="41"/>
      <c r="O115" s="41"/>
    </row>
    <row r="116" spans="1:15">
      <c r="A116" s="4"/>
      <c r="B116" s="4"/>
      <c r="C116" s="4"/>
      <c r="D116" s="4"/>
      <c r="E116" s="4"/>
      <c r="F116" s="4"/>
      <c r="G116" s="4"/>
      <c r="J116" s="41"/>
      <c r="K116" s="41"/>
      <c r="L116" s="41"/>
      <c r="M116" s="41"/>
      <c r="N116" s="41"/>
      <c r="O116" s="41"/>
    </row>
    <row r="117" spans="1:15">
      <c r="A117" s="4"/>
      <c r="B117" s="4"/>
      <c r="C117" s="4"/>
      <c r="D117" s="4"/>
      <c r="E117" s="4"/>
      <c r="F117" s="4"/>
      <c r="G117" s="4"/>
      <c r="J117" s="41"/>
      <c r="K117" s="41"/>
      <c r="L117" s="41"/>
      <c r="M117" s="41"/>
      <c r="N117" s="41"/>
      <c r="O117" s="41"/>
    </row>
    <row r="118" spans="1:15">
      <c r="A118" s="4"/>
      <c r="B118" s="4"/>
      <c r="C118" s="4"/>
      <c r="D118" s="4"/>
      <c r="E118" s="4"/>
      <c r="F118" s="4"/>
      <c r="G118" s="4"/>
      <c r="J118" s="41"/>
      <c r="K118" s="41"/>
      <c r="L118" s="41"/>
      <c r="M118" s="41"/>
      <c r="N118" s="41"/>
      <c r="O118" s="41"/>
    </row>
    <row r="119" spans="1:15">
      <c r="A119" s="4"/>
      <c r="B119" s="4"/>
      <c r="C119" s="4"/>
      <c r="D119" s="4"/>
      <c r="E119" s="4"/>
      <c r="F119" s="4"/>
      <c r="G119" s="4"/>
      <c r="J119" s="41"/>
      <c r="K119" s="41"/>
      <c r="L119" s="41"/>
      <c r="M119" s="41"/>
      <c r="N119" s="41"/>
      <c r="O119" s="41"/>
    </row>
    <row r="120" spans="1:15">
      <c r="A120" s="4"/>
      <c r="B120" s="4"/>
      <c r="C120" s="4"/>
      <c r="D120" s="4"/>
      <c r="E120" s="4"/>
      <c r="F120" s="4"/>
      <c r="G120" s="4"/>
      <c r="J120" s="41"/>
      <c r="K120" s="41"/>
      <c r="L120" s="41"/>
      <c r="M120" s="41"/>
      <c r="N120" s="41"/>
      <c r="O120" s="41"/>
    </row>
    <row r="121" spans="1:15">
      <c r="A121" s="4"/>
      <c r="B121" s="4"/>
      <c r="C121" s="4"/>
      <c r="D121" s="4"/>
      <c r="E121" s="4"/>
      <c r="F121" s="4"/>
      <c r="G121" s="4"/>
      <c r="J121" s="41"/>
      <c r="K121" s="41"/>
      <c r="L121" s="41"/>
      <c r="M121" s="41"/>
      <c r="N121" s="41"/>
      <c r="O121" s="41"/>
    </row>
    <row r="122" spans="1:15">
      <c r="A122" s="4"/>
      <c r="B122" s="4"/>
      <c r="C122" s="4"/>
      <c r="D122" s="4"/>
      <c r="E122" s="4"/>
      <c r="F122" s="4"/>
      <c r="G122" s="4"/>
      <c r="J122" s="41"/>
      <c r="K122" s="41"/>
    </row>
    <row r="123" spans="1:15">
      <c r="A123" s="4"/>
      <c r="B123" s="4"/>
      <c r="C123" s="4"/>
      <c r="D123" s="4"/>
      <c r="E123" s="4"/>
      <c r="F123" s="4"/>
      <c r="G123" s="4"/>
    </row>
    <row r="124" spans="1:15">
      <c r="A124" s="4"/>
      <c r="B124" s="4"/>
      <c r="C124" s="4"/>
      <c r="D124" s="4"/>
      <c r="E124" s="4"/>
      <c r="F124" s="4"/>
      <c r="G124" s="4"/>
    </row>
    <row r="125" spans="1:15">
      <c r="A125" s="4"/>
      <c r="B125" s="4"/>
      <c r="C125" s="4"/>
      <c r="D125" s="4"/>
      <c r="E125" s="4"/>
      <c r="F125" s="4"/>
      <c r="G125" s="4"/>
    </row>
    <row r="126" spans="1:15">
      <c r="A126" s="4"/>
      <c r="B126" s="4"/>
      <c r="C126" s="4"/>
      <c r="D126" s="4"/>
      <c r="E126" s="4"/>
      <c r="F126" s="4"/>
      <c r="G126" s="4"/>
    </row>
    <row r="128" spans="1:15">
      <c r="A128" s="51"/>
      <c r="B128" s="4"/>
      <c r="C128" s="4"/>
      <c r="D128" s="4"/>
      <c r="E128" s="4"/>
      <c r="F128" s="4"/>
      <c r="G128" s="4"/>
    </row>
    <row r="129" spans="1:7">
      <c r="A129" s="51"/>
      <c r="B129" s="4"/>
      <c r="C129" s="4"/>
      <c r="D129" s="4"/>
      <c r="E129" s="4"/>
      <c r="F129" s="4"/>
      <c r="G129" s="4"/>
    </row>
    <row r="130" spans="1:7">
      <c r="A130" s="4"/>
      <c r="B130" s="4"/>
      <c r="C130" s="4"/>
      <c r="D130" s="4"/>
      <c r="E130" s="4"/>
      <c r="F130" s="4"/>
      <c r="G130" s="4"/>
    </row>
    <row r="428" spans="1:12">
      <c r="L428" s="98"/>
    </row>
    <row r="429" spans="1:12">
      <c r="A429" s="51"/>
      <c r="B429" s="4"/>
      <c r="C429" s="4"/>
      <c r="D429" s="4"/>
      <c r="E429" s="4"/>
      <c r="F429" s="4"/>
      <c r="G429" s="4"/>
      <c r="J429" s="41"/>
      <c r="K429" s="41"/>
      <c r="L429" s="98"/>
    </row>
    <row r="430" spans="1:12">
      <c r="A430" s="51"/>
      <c r="B430" s="4"/>
      <c r="C430" s="4"/>
      <c r="D430" s="4"/>
      <c r="E430" s="4"/>
      <c r="F430" s="4"/>
      <c r="G430" s="4"/>
      <c r="J430" s="41"/>
      <c r="K430" s="41"/>
      <c r="L430" s="98"/>
    </row>
    <row r="431" spans="1:12">
      <c r="A431" s="51"/>
      <c r="B431" s="4"/>
      <c r="C431" s="4"/>
      <c r="D431" s="4"/>
      <c r="E431" s="4"/>
      <c r="F431" s="4"/>
      <c r="G431" s="4"/>
      <c r="J431" s="41"/>
      <c r="K431" s="41"/>
      <c r="L431" s="98"/>
    </row>
    <row r="432" spans="1:12">
      <c r="A432" s="51"/>
      <c r="B432" s="4"/>
      <c r="C432" s="4"/>
      <c r="D432" s="4"/>
      <c r="E432" s="4"/>
      <c r="F432" s="4"/>
      <c r="G432" s="4"/>
      <c r="J432" s="41"/>
      <c r="K432" s="41"/>
      <c r="L432" s="98"/>
    </row>
    <row r="433" spans="1:12">
      <c r="A433" s="51"/>
      <c r="B433" s="4"/>
      <c r="C433" s="4"/>
      <c r="D433" s="4"/>
      <c r="E433" s="4"/>
      <c r="F433" s="4"/>
      <c r="G433" s="4"/>
      <c r="J433" s="41"/>
      <c r="K433" s="41"/>
      <c r="L433" s="98"/>
    </row>
    <row r="434" spans="1:12">
      <c r="A434" s="51"/>
      <c r="B434" s="4"/>
      <c r="C434" s="4"/>
      <c r="D434" s="4"/>
      <c r="E434" s="4"/>
      <c r="F434" s="4"/>
      <c r="G434" s="4"/>
      <c r="J434" s="41"/>
      <c r="K434" s="41"/>
      <c r="L434" s="98"/>
    </row>
    <row r="435" spans="1:12">
      <c r="A435" s="51"/>
      <c r="B435" s="4"/>
      <c r="C435" s="4"/>
      <c r="D435" s="4"/>
      <c r="E435" s="4"/>
      <c r="F435" s="4"/>
      <c r="G435" s="4"/>
      <c r="J435" s="41"/>
      <c r="K435" s="41"/>
      <c r="L435" s="98"/>
    </row>
    <row r="436" spans="1:12">
      <c r="A436" s="51"/>
      <c r="B436" s="4"/>
      <c r="C436" s="4"/>
      <c r="D436" s="4"/>
      <c r="E436" s="4"/>
      <c r="F436" s="4"/>
      <c r="G436" s="4"/>
      <c r="J436" s="41"/>
      <c r="K436" s="41"/>
      <c r="L436" s="98"/>
    </row>
    <row r="437" spans="1:12">
      <c r="A437" s="51"/>
      <c r="B437" s="4"/>
      <c r="C437" s="4"/>
      <c r="D437" s="4"/>
      <c r="E437" s="4"/>
      <c r="F437" s="4"/>
      <c r="G437" s="4"/>
      <c r="J437" s="41"/>
      <c r="K437" s="41"/>
      <c r="L437" s="98"/>
    </row>
    <row r="438" spans="1:12">
      <c r="A438" s="51"/>
      <c r="B438" s="4"/>
      <c r="C438" s="4"/>
      <c r="D438" s="4"/>
      <c r="E438" s="4"/>
      <c r="F438" s="4"/>
      <c r="G438" s="4"/>
      <c r="J438" s="41"/>
      <c r="K438" s="41"/>
      <c r="L438" s="98"/>
    </row>
    <row r="439" spans="1:12">
      <c r="A439" s="51"/>
      <c r="B439" s="4"/>
      <c r="C439" s="4"/>
      <c r="D439" s="4"/>
      <c r="E439" s="4"/>
      <c r="F439" s="4"/>
      <c r="G439" s="4"/>
      <c r="J439" s="41"/>
      <c r="K439" s="41"/>
      <c r="L439" s="98"/>
    </row>
    <row r="440" spans="1:12">
      <c r="A440" s="51"/>
      <c r="B440" s="4"/>
      <c r="C440" s="4"/>
      <c r="D440" s="4"/>
      <c r="E440" s="4"/>
      <c r="F440" s="4"/>
      <c r="G440" s="4"/>
      <c r="J440" s="41"/>
      <c r="K440" s="41"/>
      <c r="L440" s="98"/>
    </row>
    <row r="441" spans="1:12">
      <c r="A441" s="51"/>
      <c r="B441" s="4"/>
      <c r="C441" s="4"/>
      <c r="D441" s="4"/>
      <c r="E441" s="4"/>
      <c r="F441" s="4"/>
      <c r="G441" s="4"/>
      <c r="J441" s="41"/>
      <c r="K441" s="41"/>
      <c r="L441" s="98"/>
    </row>
    <row r="442" spans="1:12">
      <c r="A442" s="51"/>
      <c r="B442" s="4"/>
      <c r="C442" s="4"/>
      <c r="D442" s="4"/>
      <c r="E442" s="4"/>
      <c r="F442" s="4"/>
      <c r="G442" s="4"/>
      <c r="J442" s="41"/>
      <c r="K442" s="41"/>
      <c r="L442" s="98"/>
    </row>
    <row r="443" spans="1:12">
      <c r="A443" s="51"/>
      <c r="B443" s="4"/>
      <c r="C443" s="4"/>
      <c r="D443" s="4"/>
      <c r="E443" s="4"/>
      <c r="F443" s="4"/>
      <c r="G443" s="4"/>
      <c r="J443" s="41"/>
      <c r="K443" s="41"/>
      <c r="L443" s="98"/>
    </row>
    <row r="444" spans="1:12">
      <c r="A444" s="51"/>
      <c r="B444" s="4"/>
      <c r="C444" s="4"/>
      <c r="D444" s="4"/>
      <c r="E444" s="4"/>
      <c r="F444" s="4"/>
      <c r="G444" s="4"/>
      <c r="J444" s="41"/>
      <c r="K444" s="41"/>
      <c r="L444" s="98"/>
    </row>
    <row r="445" spans="1:12">
      <c r="A445" s="51"/>
      <c r="B445" s="4"/>
      <c r="C445" s="4"/>
      <c r="D445" s="4"/>
      <c r="E445" s="4"/>
      <c r="F445" s="4"/>
      <c r="G445" s="4"/>
      <c r="J445" s="41"/>
      <c r="K445" s="41"/>
      <c r="L445" s="98"/>
    </row>
    <row r="446" spans="1:12">
      <c r="A446" s="51"/>
      <c r="B446" s="4"/>
      <c r="C446" s="4"/>
      <c r="D446" s="4"/>
      <c r="E446" s="4"/>
      <c r="F446" s="4"/>
      <c r="G446" s="4"/>
      <c r="J446" s="41"/>
      <c r="K446" s="41"/>
      <c r="L446" s="98"/>
    </row>
    <row r="447" spans="1:12">
      <c r="A447" s="51"/>
      <c r="B447" s="4"/>
      <c r="C447" s="4"/>
      <c r="D447" s="4"/>
      <c r="E447" s="4"/>
      <c r="F447" s="4"/>
      <c r="G447" s="4"/>
      <c r="J447" s="41"/>
      <c r="K447" s="41"/>
      <c r="L447" s="100"/>
    </row>
    <row r="448" spans="1:12">
      <c r="A448" s="53"/>
      <c r="B448" s="40"/>
      <c r="C448" s="40"/>
      <c r="D448" s="40"/>
      <c r="E448" s="40"/>
      <c r="F448" s="40"/>
      <c r="G448" s="40"/>
      <c r="H448" s="99"/>
      <c r="I448" s="99"/>
      <c r="J448" s="99"/>
      <c r="K448" s="99"/>
    </row>
  </sheetData>
  <mergeCells count="8">
    <mergeCell ref="A1:G1"/>
    <mergeCell ref="C3:G3"/>
    <mergeCell ref="C8:G8"/>
    <mergeCell ref="C2:F2"/>
    <mergeCell ref="C4:G4"/>
    <mergeCell ref="C5:G5"/>
    <mergeCell ref="C6:G6"/>
    <mergeCell ref="C7:G7"/>
  </mergeCells>
  <printOptions horizontalCentered="1" verticalCentered="1"/>
  <pageMargins left="0.78740157480314965" right="0.78740157480314965" top="0.39370078740157483" bottom="0.39370078740157483" header="0.31496062992125984" footer="0.31496062992125984"/>
  <pageSetup paperSize="9" scale="105" orientation="portrait" r:id="rId1"/>
  <ignoredErrors>
    <ignoredError sqref="G11:G62 G65 G67:G78 G82:G99" formulaRange="1"/>
    <ignoredError sqref="G63:G64 G66" formula="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FF00"/>
  </sheetPr>
  <dimension ref="A1:AW448"/>
  <sheetViews>
    <sheetView showGridLines="0" view="pageBreakPreview" topLeftCell="A10" zoomScaleNormal="100" zoomScaleSheetLayoutView="100" workbookViewId="0">
      <selection activeCell="B103" sqref="B103:C103"/>
    </sheetView>
  </sheetViews>
  <sheetFormatPr baseColWidth="10" defaultColWidth="12" defaultRowHeight="12.75"/>
  <cols>
    <col min="1" max="5" width="13.83203125" style="1" customWidth="1"/>
    <col min="6" max="6" width="20.5" style="1" customWidth="1"/>
    <col min="7" max="7" width="14.33203125" style="1" customWidth="1"/>
    <col min="8" max="16384" width="12" style="1"/>
  </cols>
  <sheetData>
    <row r="1" spans="1:32" ht="39" customHeight="1" thickBot="1">
      <c r="A1" s="3032" t="s">
        <v>7</v>
      </c>
      <c r="B1" s="3033"/>
      <c r="C1" s="3033"/>
      <c r="D1" s="3033"/>
      <c r="E1" s="3033"/>
      <c r="F1" s="3033"/>
      <c r="G1" s="3034"/>
      <c r="H1" s="4"/>
      <c r="I1" s="4"/>
      <c r="J1" s="4"/>
    </row>
    <row r="2" spans="1:32" s="3" customFormat="1" ht="24" customHeight="1">
      <c r="A2" s="1678" t="s">
        <v>18</v>
      </c>
      <c r="B2" s="141"/>
      <c r="C2" s="3035" t="s">
        <v>25</v>
      </c>
      <c r="D2" s="3003"/>
      <c r="E2" s="3003"/>
      <c r="F2" s="3004"/>
      <c r="G2" s="1679" t="s">
        <v>310</v>
      </c>
      <c r="H2" s="62"/>
      <c r="I2" s="62"/>
      <c r="J2" s="62"/>
    </row>
    <row r="3" spans="1:32" s="3" customFormat="1" ht="36" customHeight="1">
      <c r="A3" s="1678" t="s">
        <v>17</v>
      </c>
      <c r="B3" s="107"/>
      <c r="C3" s="3011" t="s">
        <v>168</v>
      </c>
      <c r="D3" s="3012"/>
      <c r="E3" s="3012"/>
      <c r="F3" s="3012"/>
      <c r="G3" s="3013"/>
      <c r="H3" s="62"/>
      <c r="I3" s="62"/>
      <c r="J3" s="62"/>
    </row>
    <row r="4" spans="1:32" s="3" customFormat="1" ht="24" customHeight="1">
      <c r="A4" s="1690" t="s">
        <v>8</v>
      </c>
      <c r="B4" s="108"/>
      <c r="C4" s="3017" t="s">
        <v>235</v>
      </c>
      <c r="D4" s="3018"/>
      <c r="E4" s="3018"/>
      <c r="F4" s="3018"/>
      <c r="G4" s="3019"/>
      <c r="H4" s="62"/>
      <c r="I4" s="62"/>
      <c r="J4" s="62"/>
    </row>
    <row r="5" spans="1:32" s="3" customFormat="1" ht="24" customHeight="1">
      <c r="A5" s="1690" t="s">
        <v>11</v>
      </c>
      <c r="B5" s="63"/>
      <c r="C5" s="3017" t="s">
        <v>26</v>
      </c>
      <c r="D5" s="3018"/>
      <c r="E5" s="3018"/>
      <c r="F5" s="3018"/>
      <c r="G5" s="3019"/>
      <c r="H5" s="72"/>
      <c r="I5" s="62"/>
      <c r="J5" s="62"/>
    </row>
    <row r="6" spans="1:32" s="3" customFormat="1" ht="24" customHeight="1">
      <c r="A6" s="226" t="s">
        <v>16</v>
      </c>
      <c r="B6" s="49"/>
      <c r="C6" s="3017" t="s">
        <v>15</v>
      </c>
      <c r="D6" s="3018"/>
      <c r="E6" s="3018"/>
      <c r="F6" s="3018"/>
      <c r="G6" s="3019"/>
      <c r="H6" s="62"/>
      <c r="I6" s="62"/>
      <c r="J6" s="62"/>
    </row>
    <row r="7" spans="1:32" s="3" customFormat="1" ht="24" customHeight="1">
      <c r="A7" s="227" t="s">
        <v>9</v>
      </c>
      <c r="B7" s="110"/>
      <c r="C7" s="3017" t="s">
        <v>700</v>
      </c>
      <c r="D7" s="3018"/>
      <c r="E7" s="3018"/>
      <c r="F7" s="3018"/>
      <c r="G7" s="3019"/>
      <c r="H7" s="62"/>
      <c r="I7" s="62"/>
      <c r="J7" s="62"/>
      <c r="AF7" s="37"/>
    </row>
    <row r="8" spans="1:32" s="3" customFormat="1" ht="24" customHeight="1" thickBot="1">
      <c r="A8" s="228" t="s">
        <v>21</v>
      </c>
      <c r="B8" s="148"/>
      <c r="C8" s="3038" t="s">
        <v>198</v>
      </c>
      <c r="D8" s="3038"/>
      <c r="E8" s="3038"/>
      <c r="F8" s="3038"/>
      <c r="G8" s="3039"/>
      <c r="H8" s="62"/>
      <c r="I8" s="62"/>
      <c r="J8" s="62"/>
    </row>
    <row r="9" spans="1:32" ht="13.5" thickBot="1">
      <c r="A9" s="4"/>
      <c r="B9" s="4"/>
      <c r="C9" s="4"/>
      <c r="D9" s="4"/>
      <c r="E9" s="4"/>
      <c r="F9" s="4"/>
      <c r="G9" s="4"/>
      <c r="H9" s="4"/>
      <c r="I9" s="4"/>
      <c r="J9" s="4"/>
    </row>
    <row r="10" spans="1:32" s="4" customFormat="1" ht="19.5" customHeight="1" thickBot="1">
      <c r="A10" s="180" t="s">
        <v>49</v>
      </c>
      <c r="B10" s="143" t="s">
        <v>22</v>
      </c>
      <c r="C10" s="143" t="s">
        <v>23</v>
      </c>
      <c r="D10" s="181" t="s">
        <v>24</v>
      </c>
    </row>
    <row r="11" spans="1:32" ht="19.5" hidden="1" customHeight="1">
      <c r="A11" s="1685">
        <v>40544</v>
      </c>
      <c r="B11" s="93">
        <v>2648074.86</v>
      </c>
      <c r="C11" s="93">
        <v>2712291.22</v>
      </c>
      <c r="D11" s="1686">
        <f>+B11/C11</f>
        <v>0.97632394356237295</v>
      </c>
      <c r="E11" s="4"/>
      <c r="F11" s="4"/>
      <c r="G11" s="2"/>
      <c r="H11" s="4"/>
      <c r="I11" s="4"/>
      <c r="J11" s="4"/>
    </row>
    <row r="12" spans="1:32" ht="19.5" hidden="1" customHeight="1">
      <c r="A12" s="182">
        <v>40575</v>
      </c>
      <c r="B12" s="92">
        <v>2624850.7000000002</v>
      </c>
      <c r="C12" s="92">
        <v>2748817.0999999996</v>
      </c>
      <c r="D12" s="805">
        <f t="shared" ref="D12:D43" si="0">+B12/C12</f>
        <v>0.95490191035263883</v>
      </c>
      <c r="E12" s="2"/>
      <c r="F12" s="2"/>
      <c r="G12" s="2"/>
      <c r="H12" s="4"/>
      <c r="I12" s="4"/>
      <c r="J12" s="4"/>
    </row>
    <row r="13" spans="1:32" ht="19.5" hidden="1" customHeight="1">
      <c r="A13" s="182">
        <v>40603</v>
      </c>
      <c r="B13" s="92">
        <v>2657607.5299999998</v>
      </c>
      <c r="C13" s="92">
        <v>2757409.8100000005</v>
      </c>
      <c r="D13" s="805">
        <f t="shared" si="0"/>
        <v>0.96380578627157321</v>
      </c>
      <c r="E13" s="2"/>
      <c r="F13" s="2"/>
      <c r="G13" s="2"/>
      <c r="H13" s="4"/>
      <c r="I13" s="4"/>
      <c r="J13" s="4"/>
    </row>
    <row r="14" spans="1:32" ht="19.5" hidden="1" customHeight="1">
      <c r="A14" s="182">
        <v>40634</v>
      </c>
      <c r="B14" s="92">
        <v>2662836.2100000004</v>
      </c>
      <c r="C14" s="92">
        <v>2720828.7399999998</v>
      </c>
      <c r="D14" s="805">
        <f t="shared" si="0"/>
        <v>0.97868571103082391</v>
      </c>
      <c r="E14" s="2"/>
      <c r="F14" s="2"/>
      <c r="G14" s="2"/>
      <c r="H14" s="4"/>
      <c r="I14" s="4"/>
      <c r="J14" s="4"/>
    </row>
    <row r="15" spans="1:32" ht="19.5" hidden="1" customHeight="1">
      <c r="A15" s="182">
        <v>40664</v>
      </c>
      <c r="B15" s="92">
        <v>2642848.4300000002</v>
      </c>
      <c r="C15" s="92">
        <v>2749436.54</v>
      </c>
      <c r="D15" s="805">
        <f t="shared" si="0"/>
        <v>0.96123274407344572</v>
      </c>
      <c r="E15" s="2"/>
      <c r="F15" s="2"/>
      <c r="G15" s="2"/>
      <c r="H15" s="4"/>
      <c r="I15" s="4"/>
      <c r="J15" s="4"/>
    </row>
    <row r="16" spans="1:32" ht="19.5" hidden="1" customHeight="1">
      <c r="A16" s="182">
        <v>40695</v>
      </c>
      <c r="B16" s="92">
        <v>2658458.52</v>
      </c>
      <c r="C16" s="92">
        <v>2784935.1799999997</v>
      </c>
      <c r="D16" s="805">
        <f t="shared" si="0"/>
        <v>0.95458542054828011</v>
      </c>
      <c r="E16" s="2"/>
      <c r="F16" s="2"/>
      <c r="G16" s="2"/>
      <c r="H16" s="4"/>
      <c r="I16" s="4"/>
      <c r="J16" s="4"/>
    </row>
    <row r="17" spans="1:10" ht="19.5" hidden="1" customHeight="1">
      <c r="A17" s="182">
        <v>40725</v>
      </c>
      <c r="B17" s="92">
        <v>2705316.8499999996</v>
      </c>
      <c r="C17" s="92">
        <v>2827874.62</v>
      </c>
      <c r="D17" s="805">
        <f t="shared" si="0"/>
        <v>0.95666081900052535</v>
      </c>
      <c r="E17" s="2"/>
      <c r="F17" s="2"/>
      <c r="G17" s="2"/>
      <c r="H17" s="4"/>
      <c r="I17" s="4"/>
      <c r="J17" s="4"/>
    </row>
    <row r="18" spans="1:10" ht="19.5" hidden="1" customHeight="1">
      <c r="A18" s="182">
        <v>40756</v>
      </c>
      <c r="B18" s="92">
        <v>2732020.01</v>
      </c>
      <c r="C18" s="92">
        <v>2852256.68</v>
      </c>
      <c r="D18" s="805">
        <f t="shared" si="0"/>
        <v>0.95784507374700922</v>
      </c>
      <c r="E18" s="2"/>
      <c r="F18" s="2"/>
      <c r="G18" s="2"/>
      <c r="H18" s="4"/>
      <c r="I18" s="4"/>
      <c r="J18" s="4"/>
    </row>
    <row r="19" spans="1:10" ht="19.5" hidden="1" customHeight="1">
      <c r="A19" s="182">
        <v>40787</v>
      </c>
      <c r="B19" s="92">
        <v>2722971.3499999996</v>
      </c>
      <c r="C19" s="92">
        <v>2883031.29</v>
      </c>
      <c r="D19" s="805">
        <f t="shared" si="0"/>
        <v>0.94448206630459419</v>
      </c>
      <c r="E19" s="2"/>
      <c r="F19" s="2"/>
      <c r="G19" s="2"/>
      <c r="H19" s="4"/>
      <c r="I19" s="4"/>
      <c r="J19" s="4"/>
    </row>
    <row r="20" spans="1:10" ht="19.5" hidden="1" customHeight="1">
      <c r="A20" s="182">
        <v>40817</v>
      </c>
      <c r="B20" s="92">
        <v>2741077.9200000004</v>
      </c>
      <c r="C20" s="92">
        <v>2900676.58</v>
      </c>
      <c r="D20" s="805">
        <f t="shared" si="0"/>
        <v>0.94497881594231381</v>
      </c>
      <c r="E20" s="2"/>
      <c r="F20" s="2"/>
      <c r="G20" s="2"/>
      <c r="H20" s="4"/>
      <c r="I20" s="4"/>
      <c r="J20" s="4"/>
    </row>
    <row r="21" spans="1:10" ht="19.5" hidden="1" customHeight="1">
      <c r="A21" s="182">
        <v>40848</v>
      </c>
      <c r="B21" s="92">
        <v>2750948.0999999996</v>
      </c>
      <c r="C21" s="92">
        <v>2918327.95</v>
      </c>
      <c r="D21" s="805">
        <f t="shared" si="0"/>
        <v>0.9426452911160994</v>
      </c>
      <c r="E21" s="2"/>
      <c r="F21" s="2"/>
      <c r="G21" s="2"/>
      <c r="H21" s="4"/>
      <c r="I21" s="4"/>
      <c r="J21" s="4"/>
    </row>
    <row r="22" spans="1:10" ht="19.5" hidden="1" customHeight="1">
      <c r="A22" s="182">
        <v>40878</v>
      </c>
      <c r="B22" s="92">
        <v>2788202.45</v>
      </c>
      <c r="C22" s="92">
        <v>2926869.08</v>
      </c>
      <c r="D22" s="805">
        <f t="shared" si="0"/>
        <v>0.9526228791893897</v>
      </c>
      <c r="E22" s="2"/>
      <c r="F22" s="2"/>
      <c r="G22" s="2"/>
      <c r="H22" s="4"/>
      <c r="I22" s="4"/>
      <c r="J22" s="4"/>
    </row>
    <row r="23" spans="1:10" ht="19.5" hidden="1" customHeight="1">
      <c r="A23" s="182">
        <v>40909</v>
      </c>
      <c r="B23" s="92">
        <v>2804864.56</v>
      </c>
      <c r="C23" s="92">
        <v>2954251.87</v>
      </c>
      <c r="D23" s="1687">
        <f t="shared" si="0"/>
        <v>0.94943311654737139</v>
      </c>
      <c r="E23" s="2"/>
      <c r="F23" s="2"/>
      <c r="G23" s="2"/>
      <c r="H23" s="4"/>
      <c r="I23" s="4"/>
      <c r="J23" s="4"/>
    </row>
    <row r="24" spans="1:10" ht="19.5" hidden="1" customHeight="1">
      <c r="A24" s="182">
        <v>40940</v>
      </c>
      <c r="B24" s="92">
        <v>2830905.3000000003</v>
      </c>
      <c r="C24" s="92">
        <v>2944415.83</v>
      </c>
      <c r="D24" s="1687">
        <f t="shared" si="0"/>
        <v>0.96144887931810918</v>
      </c>
      <c r="E24" s="2"/>
      <c r="F24" s="2"/>
      <c r="G24" s="2"/>
      <c r="H24" s="4"/>
      <c r="I24" s="4"/>
      <c r="J24" s="4"/>
    </row>
    <row r="25" spans="1:10" ht="19.5" hidden="1" customHeight="1">
      <c r="A25" s="182">
        <v>40969</v>
      </c>
      <c r="B25" s="92">
        <v>2808651.89</v>
      </c>
      <c r="C25" s="92">
        <v>2956300.17</v>
      </c>
      <c r="D25" s="1687">
        <f t="shared" si="0"/>
        <v>0.9500563976898192</v>
      </c>
      <c r="E25" s="2"/>
      <c r="F25" s="2"/>
      <c r="G25" s="2"/>
      <c r="H25" s="4"/>
      <c r="I25" s="4"/>
      <c r="J25" s="4"/>
    </row>
    <row r="26" spans="1:10" ht="19.5" hidden="1" customHeight="1">
      <c r="A26" s="182">
        <v>41000</v>
      </c>
      <c r="B26" s="92">
        <v>2832259.29</v>
      </c>
      <c r="C26" s="92">
        <v>2995637.0100000002</v>
      </c>
      <c r="D26" s="1687">
        <f t="shared" si="0"/>
        <v>0.94546144294031131</v>
      </c>
      <c r="E26" s="2"/>
      <c r="F26" s="2"/>
      <c r="G26" s="2"/>
      <c r="H26" s="4"/>
      <c r="I26" s="4"/>
      <c r="J26" s="4"/>
    </row>
    <row r="27" spans="1:10" ht="19.5" hidden="1" customHeight="1">
      <c r="A27" s="182">
        <v>41030</v>
      </c>
      <c r="B27" s="92">
        <v>2873765.5700000003</v>
      </c>
      <c r="C27" s="92">
        <v>3041432.9299999997</v>
      </c>
      <c r="D27" s="1687">
        <f t="shared" si="0"/>
        <v>0.94487224809524262</v>
      </c>
      <c r="E27" s="2"/>
      <c r="F27" s="2"/>
      <c r="G27" s="2"/>
      <c r="H27" s="4"/>
      <c r="I27" s="4"/>
      <c r="J27" s="4"/>
    </row>
    <row r="28" spans="1:10" ht="19.5" hidden="1" customHeight="1">
      <c r="A28" s="182">
        <v>41061</v>
      </c>
      <c r="B28" s="92">
        <v>2897897.77</v>
      </c>
      <c r="C28" s="92">
        <v>3061297.58</v>
      </c>
      <c r="D28" s="1687">
        <f t="shared" si="0"/>
        <v>0.94662400314575101</v>
      </c>
      <c r="E28" s="2"/>
      <c r="F28" s="2"/>
      <c r="G28" s="4"/>
      <c r="J28" s="4"/>
    </row>
    <row r="29" spans="1:10" ht="19.5" hidden="1" customHeight="1">
      <c r="A29" s="182">
        <v>41091</v>
      </c>
      <c r="B29" s="91">
        <v>2914748.7399999998</v>
      </c>
      <c r="C29" s="92">
        <v>3064132.8400000003</v>
      </c>
      <c r="D29" s="1687">
        <f t="shared" si="0"/>
        <v>0.95124751184090295</v>
      </c>
      <c r="E29" s="4"/>
      <c r="F29" s="4"/>
      <c r="G29" s="4"/>
    </row>
    <row r="30" spans="1:10" ht="19.5" hidden="1" customHeight="1">
      <c r="A30" s="182">
        <v>41122</v>
      </c>
      <c r="B30" s="91">
        <v>2953180.66</v>
      </c>
      <c r="C30" s="92">
        <v>3083438.7699999996</v>
      </c>
      <c r="D30" s="1687">
        <f t="shared" si="0"/>
        <v>0.95775557106327769</v>
      </c>
      <c r="E30" s="4"/>
      <c r="F30" s="4"/>
    </row>
    <row r="31" spans="1:10" ht="19.5" hidden="1" customHeight="1">
      <c r="A31" s="182">
        <v>41153</v>
      </c>
      <c r="B31" s="91">
        <v>3016062.9600000004</v>
      </c>
      <c r="C31" s="92">
        <v>3121075.21</v>
      </c>
      <c r="D31" s="1687">
        <f t="shared" si="0"/>
        <v>0.96635382266228709</v>
      </c>
      <c r="E31" s="4"/>
      <c r="F31" s="4"/>
      <c r="G31" s="4"/>
    </row>
    <row r="32" spans="1:10" ht="19.5" hidden="1" customHeight="1">
      <c r="A32" s="182">
        <v>41183</v>
      </c>
      <c r="B32" s="91">
        <v>3101459.1800000006</v>
      </c>
      <c r="C32" s="92">
        <v>3145054.71</v>
      </c>
      <c r="D32" s="1687">
        <f t="shared" si="0"/>
        <v>0.98613838739867288</v>
      </c>
      <c r="E32" s="4"/>
      <c r="F32" s="4"/>
      <c r="G32" s="4"/>
    </row>
    <row r="33" spans="1:49" ht="19.5" hidden="1" customHeight="1">
      <c r="A33" s="182">
        <v>41214</v>
      </c>
      <c r="B33" s="91">
        <v>3129364.62</v>
      </c>
      <c r="C33" s="92">
        <v>3175051.5599999996</v>
      </c>
      <c r="D33" s="1687">
        <f t="shared" si="0"/>
        <v>0.98561064627246575</v>
      </c>
      <c r="E33" s="4"/>
      <c r="F33" s="4"/>
      <c r="G33" s="4"/>
    </row>
    <row r="34" spans="1:49" ht="19.5" hidden="1" customHeight="1">
      <c r="A34" s="182">
        <v>41244</v>
      </c>
      <c r="B34" s="91">
        <v>3139762.58</v>
      </c>
      <c r="C34" s="92">
        <v>3212886.2</v>
      </c>
      <c r="D34" s="1687">
        <f t="shared" si="0"/>
        <v>0.97724051975448112</v>
      </c>
      <c r="E34" s="4"/>
      <c r="F34" s="4"/>
      <c r="G34" s="4"/>
      <c r="H34" s="4"/>
      <c r="I34" s="4"/>
    </row>
    <row r="35" spans="1:49" s="4" customFormat="1" ht="19.5" hidden="1" customHeight="1">
      <c r="A35" s="182">
        <v>41275</v>
      </c>
      <c r="B35" s="91">
        <v>3171473.3</v>
      </c>
      <c r="C35" s="92">
        <v>3241115.38</v>
      </c>
      <c r="D35" s="1687">
        <f t="shared" si="0"/>
        <v>0.97851292785510147</v>
      </c>
    </row>
    <row r="36" spans="1:49" s="4" customFormat="1" ht="19.5" hidden="1" customHeight="1">
      <c r="A36" s="182">
        <v>41306</v>
      </c>
      <c r="B36" s="91">
        <v>3195085.1300000004</v>
      </c>
      <c r="C36" s="92">
        <v>3291353.15</v>
      </c>
      <c r="D36" s="1687">
        <f t="shared" si="0"/>
        <v>0.9707512334250733</v>
      </c>
      <c r="H36" s="1"/>
      <c r="I36" s="1"/>
    </row>
    <row r="37" spans="1:49" ht="19.5" hidden="1" customHeight="1">
      <c r="A37" s="182">
        <v>41334</v>
      </c>
      <c r="B37" s="91">
        <v>3279847.5099989995</v>
      </c>
      <c r="C37" s="92">
        <v>3341687.51</v>
      </c>
      <c r="D37" s="1687">
        <f t="shared" si="0"/>
        <v>0.98149437976592846</v>
      </c>
      <c r="E37" s="4"/>
      <c r="F37" s="4"/>
      <c r="G37" s="4"/>
    </row>
    <row r="38" spans="1:49" ht="19.5" hidden="1" customHeight="1">
      <c r="A38" s="182">
        <v>41365</v>
      </c>
      <c r="B38" s="91">
        <v>3347516.1999989999</v>
      </c>
      <c r="C38" s="92">
        <v>3396546.9300000006</v>
      </c>
      <c r="D38" s="1687">
        <f t="shared" si="0"/>
        <v>0.9855645362741976</v>
      </c>
      <c r="E38" s="4"/>
      <c r="F38" s="4"/>
      <c r="G38" s="4"/>
    </row>
    <row r="39" spans="1:49" ht="19.5" hidden="1" customHeight="1">
      <c r="A39" s="182">
        <v>41395</v>
      </c>
      <c r="B39" s="91">
        <v>3410370.1199989999</v>
      </c>
      <c r="C39" s="92">
        <v>3383810.5300000003</v>
      </c>
      <c r="D39" s="1687">
        <f t="shared" si="0"/>
        <v>1.007849018071056</v>
      </c>
      <c r="E39" s="4"/>
      <c r="F39" s="4"/>
      <c r="G39" s="4"/>
    </row>
    <row r="40" spans="1:49" ht="19.5" hidden="1" customHeight="1">
      <c r="A40" s="182">
        <v>41426</v>
      </c>
      <c r="B40" s="91">
        <v>3406862.9699989995</v>
      </c>
      <c r="C40" s="92">
        <v>3384198.7700000005</v>
      </c>
      <c r="D40" s="1687">
        <f t="shared" si="0"/>
        <v>1.0066970652551237</v>
      </c>
      <c r="E40" s="4"/>
      <c r="F40" s="4"/>
      <c r="G40" s="4"/>
    </row>
    <row r="41" spans="1:49" ht="19.5" hidden="1" customHeight="1">
      <c r="A41" s="183">
        <v>41456</v>
      </c>
      <c r="B41" s="263">
        <v>3389901.9999990002</v>
      </c>
      <c r="C41" s="101">
        <v>3370898.6399999997</v>
      </c>
      <c r="D41" s="1688">
        <f t="shared" si="0"/>
        <v>1.0056374759458804</v>
      </c>
      <c r="E41" s="4"/>
      <c r="F41" s="4"/>
      <c r="G41" s="4"/>
      <c r="AW41" s="1">
        <v>0</v>
      </c>
    </row>
    <row r="42" spans="1:49" ht="19.5" hidden="1" customHeight="1">
      <c r="A42" s="183">
        <v>41487</v>
      </c>
      <c r="B42" s="263">
        <v>3379717.3499989999</v>
      </c>
      <c r="C42" s="101">
        <v>3383643.0000000005</v>
      </c>
      <c r="D42" s="1689">
        <f>+B42/C42</f>
        <v>0.99883981554762113</v>
      </c>
      <c r="E42" s="4"/>
      <c r="F42" s="4"/>
      <c r="G42" s="4"/>
      <c r="AW42" s="104"/>
    </row>
    <row r="43" spans="1:49" ht="19.5" hidden="1" customHeight="1">
      <c r="A43" s="183">
        <v>41518</v>
      </c>
      <c r="B43" s="263">
        <v>3373840.2499990002</v>
      </c>
      <c r="C43" s="101">
        <v>3369385.71</v>
      </c>
      <c r="D43" s="1689">
        <f t="shared" si="0"/>
        <v>1.0013220629463049</v>
      </c>
      <c r="E43" s="4"/>
      <c r="F43" s="4"/>
      <c r="G43" s="4"/>
      <c r="AW43" s="104"/>
    </row>
    <row r="44" spans="1:49" ht="19.5" hidden="1" customHeight="1">
      <c r="A44" s="183">
        <v>41548</v>
      </c>
      <c r="B44" s="263">
        <v>3329388.7999989996</v>
      </c>
      <c r="C44" s="101">
        <v>3385983.09</v>
      </c>
      <c r="D44" s="1689">
        <f t="shared" ref="D44:D60" si="1">B44/C44</f>
        <v>0.9832857139280633</v>
      </c>
      <c r="E44" s="71"/>
      <c r="F44" s="4"/>
      <c r="G44" s="4"/>
      <c r="AW44" s="104"/>
    </row>
    <row r="45" spans="1:49" ht="19.5" hidden="1" customHeight="1">
      <c r="A45" s="183">
        <v>41579</v>
      </c>
      <c r="B45" s="263">
        <v>3360184.0299989996</v>
      </c>
      <c r="C45" s="101">
        <v>3399874.1300000004</v>
      </c>
      <c r="D45" s="1689">
        <f t="shared" si="1"/>
        <v>0.98832600899816225</v>
      </c>
      <c r="E45" s="71"/>
      <c r="F45" s="4"/>
      <c r="G45" s="4"/>
      <c r="AW45" s="104"/>
    </row>
    <row r="46" spans="1:49" ht="19.5" hidden="1" customHeight="1">
      <c r="A46" s="183">
        <v>41609</v>
      </c>
      <c r="B46" s="263">
        <v>3394687.4299989995</v>
      </c>
      <c r="C46" s="101">
        <v>3422900.24</v>
      </c>
      <c r="D46" s="1689">
        <f t="shared" si="1"/>
        <v>0.99175763007308659</v>
      </c>
      <c r="E46" s="71"/>
      <c r="F46" s="4"/>
      <c r="G46" s="4"/>
      <c r="AW46" s="104"/>
    </row>
    <row r="47" spans="1:49" ht="19.5" hidden="1" customHeight="1">
      <c r="A47" s="183">
        <v>41640</v>
      </c>
      <c r="B47" s="263">
        <v>3427563.12</v>
      </c>
      <c r="C47" s="101">
        <v>3457099.9299999997</v>
      </c>
      <c r="D47" s="1689">
        <f t="shared" si="1"/>
        <v>0.99145618854008666</v>
      </c>
      <c r="E47" s="71"/>
      <c r="F47" s="4"/>
      <c r="G47" s="4"/>
      <c r="AW47" s="104"/>
    </row>
    <row r="48" spans="1:49" ht="19.5" hidden="1" customHeight="1">
      <c r="A48" s="183">
        <v>41671</v>
      </c>
      <c r="B48" s="263">
        <v>3498998.86</v>
      </c>
      <c r="C48" s="101">
        <v>3509951.6399999997</v>
      </c>
      <c r="D48" s="1689">
        <f t="shared" si="1"/>
        <v>0.99687950686408888</v>
      </c>
      <c r="E48" s="71"/>
      <c r="F48" s="4"/>
      <c r="G48" s="4"/>
      <c r="AW48" s="104"/>
    </row>
    <row r="49" spans="1:49" ht="19.5" hidden="1" customHeight="1">
      <c r="A49" s="183">
        <v>41699</v>
      </c>
      <c r="B49" s="263">
        <v>3567144.83</v>
      </c>
      <c r="C49" s="101">
        <v>3595976.9800000004</v>
      </c>
      <c r="D49" s="1689">
        <f t="shared" si="1"/>
        <v>0.99198210940716303</v>
      </c>
      <c r="E49" s="71"/>
      <c r="F49" s="4"/>
      <c r="G49" s="4"/>
      <c r="AW49" s="104"/>
    </row>
    <row r="50" spans="1:49" ht="19.5" hidden="1" customHeight="1">
      <c r="A50" s="183">
        <v>41730</v>
      </c>
      <c r="B50" s="263">
        <v>3576244.06</v>
      </c>
      <c r="C50" s="101">
        <v>3636348.03</v>
      </c>
      <c r="D50" s="1689">
        <f t="shared" si="1"/>
        <v>0.98347133731311198</v>
      </c>
      <c r="E50" s="71"/>
      <c r="F50" s="4"/>
      <c r="G50" s="71"/>
      <c r="AW50" s="104"/>
    </row>
    <row r="51" spans="1:49" ht="19.5" hidden="1" customHeight="1">
      <c r="A51" s="183">
        <v>41760</v>
      </c>
      <c r="B51" s="263">
        <v>3635226.97</v>
      </c>
      <c r="C51" s="101">
        <v>3720856.3900000006</v>
      </c>
      <c r="D51" s="1689">
        <f t="shared" si="1"/>
        <v>0.97698663667048957</v>
      </c>
      <c r="E51" s="71"/>
      <c r="F51" s="4"/>
      <c r="G51" s="71"/>
      <c r="AW51" s="104"/>
    </row>
    <row r="52" spans="1:49" ht="19.5" hidden="1" customHeight="1">
      <c r="A52" s="183">
        <v>41791</v>
      </c>
      <c r="B52" s="425">
        <v>3763199.25</v>
      </c>
      <c r="C52" s="426">
        <v>3822747.08</v>
      </c>
      <c r="D52" s="1689">
        <f t="shared" si="1"/>
        <v>0.98442276489816849</v>
      </c>
      <c r="E52" s="71"/>
      <c r="F52" s="4"/>
      <c r="G52" s="71"/>
      <c r="AW52" s="104"/>
    </row>
    <row r="53" spans="1:49" ht="19.5" hidden="1" customHeight="1">
      <c r="A53" s="183">
        <v>41821</v>
      </c>
      <c r="B53" s="425">
        <v>3851230.4299999997</v>
      </c>
      <c r="C53" s="426">
        <v>3939927.8499999996</v>
      </c>
      <c r="D53" s="1689">
        <f t="shared" si="1"/>
        <v>0.97748755221494732</v>
      </c>
      <c r="E53" s="71"/>
      <c r="F53" s="4"/>
      <c r="G53" s="71"/>
      <c r="AW53" s="104"/>
    </row>
    <row r="54" spans="1:49" ht="19.5" hidden="1" customHeight="1">
      <c r="A54" s="183">
        <v>41852</v>
      </c>
      <c r="B54" s="425">
        <v>3934764.47</v>
      </c>
      <c r="C54" s="426">
        <v>4034289.7699999996</v>
      </c>
      <c r="D54" s="1689">
        <f t="shared" si="1"/>
        <v>0.97533015582071103</v>
      </c>
      <c r="E54" s="71"/>
      <c r="F54" s="4"/>
      <c r="G54" s="71"/>
      <c r="AW54" s="104"/>
    </row>
    <row r="55" spans="1:49" ht="19.5" hidden="1" customHeight="1">
      <c r="A55" s="183">
        <v>41883</v>
      </c>
      <c r="B55" s="425">
        <v>4031011.63</v>
      </c>
      <c r="C55" s="426">
        <v>4134637.1700000004</v>
      </c>
      <c r="D55" s="1689">
        <f t="shared" si="1"/>
        <v>0.97493721075409367</v>
      </c>
      <c r="E55" s="71"/>
      <c r="F55" s="4"/>
      <c r="G55" s="71"/>
      <c r="AW55" s="104"/>
    </row>
    <row r="56" spans="1:49" ht="19.5" hidden="1" customHeight="1">
      <c r="A56" s="183">
        <v>41913</v>
      </c>
      <c r="B56" s="425">
        <v>4120996.3800000008</v>
      </c>
      <c r="C56" s="426">
        <v>4238701.6000000006</v>
      </c>
      <c r="D56" s="1689">
        <f t="shared" si="1"/>
        <v>0.97223083125266485</v>
      </c>
      <c r="E56" s="71"/>
      <c r="F56" s="4"/>
      <c r="G56" s="71"/>
      <c r="AW56" s="104"/>
    </row>
    <row r="57" spans="1:49" ht="19.5" hidden="1" customHeight="1">
      <c r="A57" s="183">
        <v>41944</v>
      </c>
      <c r="B57" s="425">
        <v>4201189.75</v>
      </c>
      <c r="C57" s="426">
        <v>4341304.95</v>
      </c>
      <c r="D57" s="1689">
        <f t="shared" si="1"/>
        <v>0.96772509611424551</v>
      </c>
      <c r="E57" s="71"/>
      <c r="F57" s="4"/>
      <c r="G57" s="71"/>
      <c r="AW57" s="104"/>
    </row>
    <row r="58" spans="1:49" ht="19.5" hidden="1" customHeight="1">
      <c r="A58" s="183">
        <v>41974</v>
      </c>
      <c r="B58" s="425">
        <v>4251861.5200000005</v>
      </c>
      <c r="C58" s="426">
        <v>4404229.9800000004</v>
      </c>
      <c r="D58" s="1689">
        <f t="shared" si="1"/>
        <v>0.96540406366336029</v>
      </c>
      <c r="E58" s="71"/>
      <c r="F58" s="4"/>
      <c r="G58" s="71"/>
      <c r="AW58" s="104"/>
    </row>
    <row r="59" spans="1:49" ht="19.5" hidden="1" customHeight="1">
      <c r="A59" s="183">
        <v>42005</v>
      </c>
      <c r="B59" s="425">
        <v>4318788.08</v>
      </c>
      <c r="C59" s="426">
        <v>4484565.4600000009</v>
      </c>
      <c r="D59" s="1689">
        <f t="shared" si="1"/>
        <v>0.96303379190723182</v>
      </c>
      <c r="E59" s="71"/>
      <c r="F59" s="4"/>
      <c r="G59" s="71"/>
      <c r="AW59" s="104"/>
    </row>
    <row r="60" spans="1:49" ht="19.5" hidden="1" customHeight="1">
      <c r="A60" s="183">
        <v>42036</v>
      </c>
      <c r="B60" s="425">
        <v>4382324.1800000006</v>
      </c>
      <c r="C60" s="426">
        <v>4529535.88</v>
      </c>
      <c r="D60" s="1689">
        <f t="shared" si="1"/>
        <v>0.96749960616274022</v>
      </c>
      <c r="E60" s="71"/>
      <c r="F60" s="4"/>
      <c r="G60" s="71"/>
      <c r="AW60" s="104"/>
    </row>
    <row r="61" spans="1:49" ht="19.5" hidden="1" customHeight="1">
      <c r="A61" s="183">
        <v>42064</v>
      </c>
      <c r="B61" s="425">
        <v>4431849.4300000006</v>
      </c>
      <c r="C61" s="426">
        <v>4555526.9700000007</v>
      </c>
      <c r="D61" s="1689">
        <f>B61/C61</f>
        <v>0.97285110135128894</v>
      </c>
      <c r="E61" s="71"/>
      <c r="F61" s="4"/>
      <c r="G61" s="71"/>
      <c r="AW61" s="104"/>
    </row>
    <row r="62" spans="1:49" ht="19.5" hidden="1" customHeight="1">
      <c r="A62" s="183">
        <v>42095</v>
      </c>
      <c r="B62" s="425">
        <v>4529709.8400000008</v>
      </c>
      <c r="C62" s="426">
        <v>4623213.17</v>
      </c>
      <c r="D62" s="1689">
        <f>B62/C62</f>
        <v>0.97977525012111888</v>
      </c>
      <c r="E62" s="71"/>
      <c r="F62" s="4"/>
      <c r="G62" s="71"/>
      <c r="AW62" s="104"/>
    </row>
    <row r="63" spans="1:49" ht="19.5" hidden="1" customHeight="1">
      <c r="A63" s="183">
        <v>42125</v>
      </c>
      <c r="B63" s="425">
        <v>4622800.8000000007</v>
      </c>
      <c r="C63" s="426">
        <v>4714588.26</v>
      </c>
      <c r="D63" s="1689">
        <f>B63/C63</f>
        <v>0.98053118216520585</v>
      </c>
      <c r="E63" s="71"/>
      <c r="F63" s="4"/>
      <c r="G63" s="71"/>
      <c r="AW63" s="104"/>
    </row>
    <row r="64" spans="1:49" ht="19.5" hidden="1" customHeight="1">
      <c r="A64" s="183">
        <v>42156</v>
      </c>
      <c r="B64" s="425">
        <v>4631847.5600000005</v>
      </c>
      <c r="C64" s="426">
        <v>4772090.6499999994</v>
      </c>
      <c r="D64" s="1689">
        <f>B64/C64</f>
        <v>0.97061181350358483</v>
      </c>
      <c r="E64" s="71"/>
      <c r="F64" s="4"/>
      <c r="G64" s="4"/>
      <c r="AW64" s="104"/>
    </row>
    <row r="65" spans="1:49" ht="19.5" hidden="1" customHeight="1">
      <c r="A65" s="183">
        <v>42186</v>
      </c>
      <c r="B65" s="425">
        <v>4691565.5799999991</v>
      </c>
      <c r="C65" s="426">
        <v>4837966.3699999992</v>
      </c>
      <c r="D65" s="1689">
        <f>B65/C65</f>
        <v>0.96973918816223603</v>
      </c>
      <c r="E65" s="71"/>
      <c r="F65" s="4"/>
      <c r="G65" s="4"/>
      <c r="AW65" s="104"/>
    </row>
    <row r="66" spans="1:49" ht="19.5" hidden="1" customHeight="1">
      <c r="A66" s="183">
        <v>42217</v>
      </c>
      <c r="B66" s="425">
        <v>4784332.3699999992</v>
      </c>
      <c r="C66" s="426">
        <v>4881253.8100000005</v>
      </c>
      <c r="D66" s="1689">
        <f t="shared" ref="D66:D78" si="2">B66/C66</f>
        <v>0.98014415070950767</v>
      </c>
      <c r="E66" s="71"/>
      <c r="F66" s="4"/>
      <c r="G66" s="4"/>
      <c r="AW66" s="104"/>
    </row>
    <row r="67" spans="1:49" ht="19.5" hidden="1" customHeight="1">
      <c r="A67" s="183">
        <v>42248</v>
      </c>
      <c r="B67" s="425">
        <v>4825794.71</v>
      </c>
      <c r="C67" s="426">
        <v>4932874.12</v>
      </c>
      <c r="D67" s="1689">
        <f t="shared" si="2"/>
        <v>0.97829269359097282</v>
      </c>
      <c r="E67" s="71"/>
      <c r="F67" s="4"/>
      <c r="G67" s="4"/>
      <c r="AW67" s="104"/>
    </row>
    <row r="68" spans="1:49" ht="19.5" hidden="1" customHeight="1">
      <c r="A68" s="183">
        <v>42278</v>
      </c>
      <c r="B68" s="425">
        <v>4899024.3899999997</v>
      </c>
      <c r="C68" s="426">
        <v>4986786.09</v>
      </c>
      <c r="D68" s="1689">
        <f t="shared" si="2"/>
        <v>0.98240115007620066</v>
      </c>
      <c r="E68" s="71"/>
      <c r="F68" s="4"/>
      <c r="G68" s="4"/>
      <c r="AW68" s="104"/>
    </row>
    <row r="69" spans="1:49" ht="19.5" hidden="1" customHeight="1">
      <c r="A69" s="183">
        <v>42309</v>
      </c>
      <c r="B69" s="425">
        <v>4938675.1499999994</v>
      </c>
      <c r="C69" s="426">
        <v>5013462.66</v>
      </c>
      <c r="D69" s="1689">
        <f t="shared" si="2"/>
        <v>0.9850826634061336</v>
      </c>
      <c r="E69" s="71"/>
      <c r="F69" s="4"/>
      <c r="G69" s="4"/>
      <c r="AW69" s="104"/>
    </row>
    <row r="70" spans="1:49" hidden="1">
      <c r="A70" s="183">
        <v>42339</v>
      </c>
      <c r="B70" s="425">
        <v>4915347.5599999996</v>
      </c>
      <c r="C70" s="426">
        <v>5074917.2299999995</v>
      </c>
      <c r="D70" s="1689">
        <f t="shared" si="2"/>
        <v>0.96855718768047772</v>
      </c>
      <c r="E70" s="71"/>
      <c r="F70" s="4"/>
      <c r="G70" s="4"/>
      <c r="AW70" s="104"/>
    </row>
    <row r="71" spans="1:49" hidden="1">
      <c r="A71" s="183">
        <v>42370</v>
      </c>
      <c r="B71" s="425">
        <v>4927990.12</v>
      </c>
      <c r="C71" s="426">
        <v>5110673.7199999988</v>
      </c>
      <c r="D71" s="1689">
        <f t="shared" si="2"/>
        <v>0.96425449754597159</v>
      </c>
      <c r="E71" s="71"/>
      <c r="F71" s="4"/>
      <c r="G71" s="4"/>
      <c r="AW71" s="104"/>
    </row>
    <row r="72" spans="1:49" hidden="1">
      <c r="A72" s="183">
        <v>42401</v>
      </c>
      <c r="B72" s="425">
        <v>5008328.2699999996</v>
      </c>
      <c r="C72" s="426">
        <v>5194623.1599999992</v>
      </c>
      <c r="D72" s="1689">
        <f t="shared" si="2"/>
        <v>0.96413697697370604</v>
      </c>
      <c r="E72" s="71"/>
      <c r="F72" s="4"/>
      <c r="G72" s="4"/>
      <c r="AW72" s="104"/>
    </row>
    <row r="73" spans="1:49" hidden="1">
      <c r="A73" s="183">
        <v>42430</v>
      </c>
      <c r="B73" s="425">
        <v>5090627.1399999997</v>
      </c>
      <c r="C73" s="426">
        <v>5251428.5900000008</v>
      </c>
      <c r="D73" s="1689">
        <f t="shared" si="2"/>
        <v>0.96937948460230305</v>
      </c>
      <c r="E73" s="71"/>
      <c r="F73" s="4"/>
      <c r="G73" s="4"/>
      <c r="AW73" s="104"/>
    </row>
    <row r="74" spans="1:49" hidden="1">
      <c r="A74" s="183">
        <v>42461</v>
      </c>
      <c r="B74" s="425">
        <v>5103637.78</v>
      </c>
      <c r="C74" s="426">
        <v>5301368.1399999997</v>
      </c>
      <c r="D74" s="1689">
        <f t="shared" si="2"/>
        <v>0.96270201299395153</v>
      </c>
      <c r="E74" s="71"/>
      <c r="F74" s="4"/>
      <c r="G74" s="4"/>
      <c r="AW74" s="104"/>
    </row>
    <row r="75" spans="1:49" hidden="1">
      <c r="A75" s="183">
        <v>42491</v>
      </c>
      <c r="B75" s="425">
        <v>5041916.33</v>
      </c>
      <c r="C75" s="426">
        <v>5271826.3899999997</v>
      </c>
      <c r="D75" s="1689">
        <f t="shared" si="2"/>
        <v>0.95638891666916226</v>
      </c>
      <c r="E75" s="71"/>
      <c r="F75" s="4"/>
      <c r="G75" s="4"/>
      <c r="AW75" s="104"/>
    </row>
    <row r="76" spans="1:49" hidden="1">
      <c r="A76" s="183">
        <v>42522</v>
      </c>
      <c r="B76" s="425">
        <v>5001349.3500000006</v>
      </c>
      <c r="C76" s="426">
        <v>5251417.5200000005</v>
      </c>
      <c r="D76" s="1689">
        <f t="shared" si="2"/>
        <v>0.95238082497771004</v>
      </c>
      <c r="E76" s="71"/>
      <c r="F76" s="4"/>
      <c r="G76" s="4"/>
      <c r="AW76" s="104"/>
    </row>
    <row r="77" spans="1:49" hidden="1">
      <c r="A77" s="183">
        <v>42552</v>
      </c>
      <c r="B77" s="91">
        <f>'[4]05'!G77</f>
        <v>5012960.6500000004</v>
      </c>
      <c r="C77" s="92">
        <f>'[4]04'!G77</f>
        <v>5199733.3899999997</v>
      </c>
      <c r="D77" s="1689">
        <f t="shared" si="2"/>
        <v>0.96408032374136798</v>
      </c>
      <c r="E77" s="71"/>
      <c r="F77" s="4"/>
      <c r="G77" s="4"/>
      <c r="AW77" s="104"/>
    </row>
    <row r="78" spans="1:49" hidden="1">
      <c r="A78" s="183">
        <v>42583</v>
      </c>
      <c r="B78" s="91">
        <f>'[4]05'!G78</f>
        <v>5021364.6800000006</v>
      </c>
      <c r="C78" s="92">
        <f>'[4]04'!G78</f>
        <v>5189023.9000000004</v>
      </c>
      <c r="D78" s="1689">
        <f t="shared" si="2"/>
        <v>0.96768964197678875</v>
      </c>
      <c r="E78" s="71"/>
      <c r="F78" s="4"/>
      <c r="G78" s="4"/>
      <c r="AW78" s="104"/>
    </row>
    <row r="79" spans="1:49" hidden="1">
      <c r="A79" s="183">
        <v>42614</v>
      </c>
      <c r="B79" s="91">
        <f>'[4]05'!G79</f>
        <v>5037185.55</v>
      </c>
      <c r="C79" s="92">
        <f>'[4]04'!G79</f>
        <v>5178090.67</v>
      </c>
      <c r="D79" s="1689">
        <f>B79/C79</f>
        <v>0.97278820921071274</v>
      </c>
      <c r="E79" s="71"/>
      <c r="F79" s="4"/>
      <c r="G79" s="4"/>
      <c r="AW79" s="104"/>
    </row>
    <row r="80" spans="1:49" hidden="1">
      <c r="A80" s="183">
        <v>42644</v>
      </c>
      <c r="B80" s="91">
        <f>'[4]05'!G80</f>
        <v>4652500.87</v>
      </c>
      <c r="C80" s="92">
        <f>'[4]04'!G80</f>
        <v>4791902.04</v>
      </c>
      <c r="D80" s="1689">
        <f t="shared" ref="D80:D103" si="3">B80/C80</f>
        <v>0.97090901090290238</v>
      </c>
      <c r="E80" s="71"/>
      <c r="F80" s="4"/>
      <c r="G80" s="4"/>
      <c r="AW80" s="104"/>
    </row>
    <row r="81" spans="1:49" hidden="1">
      <c r="A81" s="183">
        <v>42675</v>
      </c>
      <c r="B81" s="91">
        <f>'[4]05'!G81</f>
        <v>4662062.57</v>
      </c>
      <c r="C81" s="92">
        <f>'[4]04'!G81</f>
        <v>4787971.6400000006</v>
      </c>
      <c r="D81" s="1689">
        <f t="shared" si="3"/>
        <v>0.97370304599381452</v>
      </c>
      <c r="E81" s="71"/>
      <c r="F81" s="4"/>
      <c r="G81" s="4"/>
      <c r="AW81" s="104"/>
    </row>
    <row r="82" spans="1:49" ht="11.25" hidden="1" customHeight="1" thickBot="1">
      <c r="A82" s="183">
        <v>42705</v>
      </c>
      <c r="B82" s="91">
        <f>'[4]05'!G82</f>
        <v>4524494.78</v>
      </c>
      <c r="C82" s="92">
        <f>'[4]04'!G82</f>
        <v>4591464.3499999996</v>
      </c>
      <c r="D82" s="1689">
        <f t="shared" si="3"/>
        <v>0.9854143330112104</v>
      </c>
      <c r="E82" s="71"/>
      <c r="F82" s="4"/>
      <c r="G82" s="4"/>
      <c r="AW82" s="104"/>
    </row>
    <row r="83" spans="1:49" ht="18" hidden="1" customHeight="1">
      <c r="A83" s="220">
        <v>42736</v>
      </c>
      <c r="B83" s="91">
        <f>'[4]05'!G83</f>
        <v>4515880.24</v>
      </c>
      <c r="C83" s="92">
        <f>'[4]04'!G83</f>
        <v>4593679.18</v>
      </c>
      <c r="D83" s="1188">
        <f t="shared" si="3"/>
        <v>0.98306391522970926</v>
      </c>
      <c r="E83" s="71"/>
      <c r="F83" s="4"/>
      <c r="G83" s="4"/>
      <c r="AW83" s="104"/>
    </row>
    <row r="84" spans="1:49" ht="18" hidden="1" customHeight="1">
      <c r="A84" s="182">
        <v>42767</v>
      </c>
      <c r="B84" s="91">
        <f>'[4]05'!G84</f>
        <v>4578860.0999999996</v>
      </c>
      <c r="C84" s="92">
        <f>'[4]04'!G84</f>
        <v>4623801.32</v>
      </c>
      <c r="D84" s="1189">
        <f t="shared" si="3"/>
        <v>0.99028046040697948</v>
      </c>
      <c r="E84" s="71"/>
      <c r="F84" s="4"/>
      <c r="G84" s="4"/>
      <c r="AW84" s="104"/>
    </row>
    <row r="85" spans="1:49" ht="18" hidden="1" customHeight="1">
      <c r="A85" s="182">
        <v>42795</v>
      </c>
      <c r="B85" s="91">
        <f>'[4]05'!G85</f>
        <v>4564238.5200000005</v>
      </c>
      <c r="C85" s="92">
        <f>'[4]04'!G85</f>
        <v>4630530.82</v>
      </c>
      <c r="D85" s="1189">
        <f t="shared" si="3"/>
        <v>0.985683649979464</v>
      </c>
      <c r="E85" s="71"/>
      <c r="F85" s="4"/>
      <c r="G85" s="4"/>
      <c r="AW85" s="104"/>
    </row>
    <row r="86" spans="1:49" ht="18" hidden="1" customHeight="1">
      <c r="A86" s="182">
        <v>42826</v>
      </c>
      <c r="B86" s="91">
        <f>'[4]05'!G86</f>
        <v>4643706.92</v>
      </c>
      <c r="C86" s="92">
        <f>'[4]04'!G86</f>
        <v>4668993.6100000003</v>
      </c>
      <c r="D86" s="1189">
        <f t="shared" si="3"/>
        <v>0.99458412409350028</v>
      </c>
      <c r="E86" s="71"/>
      <c r="F86" s="4"/>
      <c r="G86" s="4"/>
      <c r="AW86" s="104"/>
    </row>
    <row r="87" spans="1:49" ht="18" hidden="1" customHeight="1">
      <c r="A87" s="182">
        <v>42856</v>
      </c>
      <c r="B87" s="91">
        <f>'[4]05'!G87</f>
        <v>4774444.5</v>
      </c>
      <c r="C87" s="92">
        <f>'[4]04'!G87</f>
        <v>4749357.6899999995</v>
      </c>
      <c r="D87" s="1189">
        <f t="shared" si="3"/>
        <v>1.0052821479529372</v>
      </c>
      <c r="E87" s="71"/>
      <c r="F87" s="4"/>
      <c r="G87" s="4"/>
      <c r="AW87" s="104"/>
    </row>
    <row r="88" spans="1:49" ht="18" hidden="1" customHeight="1">
      <c r="A88" s="182">
        <v>42887</v>
      </c>
      <c r="B88" s="91">
        <f>'[4]05'!G88</f>
        <v>5013022.3599999994</v>
      </c>
      <c r="C88" s="92">
        <f>'[4]04'!G88</f>
        <v>4958717.1199999992</v>
      </c>
      <c r="D88" s="1189">
        <f t="shared" si="3"/>
        <v>1.0109514696414059</v>
      </c>
      <c r="E88" s="71"/>
      <c r="F88" s="4"/>
      <c r="G88" s="4"/>
      <c r="AT88" s="104"/>
    </row>
    <row r="89" spans="1:49" ht="18" hidden="1" customHeight="1">
      <c r="A89" s="182">
        <v>42917</v>
      </c>
      <c r="B89" s="91">
        <f>'[4]05'!G89</f>
        <v>4981225.4399999995</v>
      </c>
      <c r="C89" s="92">
        <f>'[4]04'!G89</f>
        <v>4976939.8599999994</v>
      </c>
      <c r="D89" s="1189">
        <f t="shared" si="3"/>
        <v>1.0008610873590102</v>
      </c>
      <c r="E89" s="71"/>
      <c r="F89" s="4"/>
      <c r="G89" s="4"/>
      <c r="AW89" s="104"/>
    </row>
    <row r="90" spans="1:49" ht="18" hidden="1" customHeight="1">
      <c r="A90" s="182">
        <v>42948</v>
      </c>
      <c r="B90" s="91">
        <f>'[4]05'!G90</f>
        <v>4943580.3099999996</v>
      </c>
      <c r="C90" s="92">
        <f>'[4]04'!G90</f>
        <v>4979920.6499999994</v>
      </c>
      <c r="D90" s="1189">
        <f t="shared" si="3"/>
        <v>0.99270262669747567</v>
      </c>
      <c r="E90" s="71"/>
      <c r="F90" s="4"/>
      <c r="G90" s="4"/>
      <c r="AT90" s="104"/>
    </row>
    <row r="91" spans="1:49" ht="18" hidden="1" customHeight="1">
      <c r="A91" s="182">
        <v>42979</v>
      </c>
      <c r="B91" s="974">
        <f>'[4]05'!G91</f>
        <v>4930897.76</v>
      </c>
      <c r="C91" s="92">
        <f>'[4]04'!G91</f>
        <v>4986436.8699999992</v>
      </c>
      <c r="D91" s="1189">
        <f t="shared" si="3"/>
        <v>0.98886196467579079</v>
      </c>
      <c r="E91" s="71"/>
      <c r="F91" s="4"/>
      <c r="G91" s="4"/>
      <c r="AW91" s="104"/>
    </row>
    <row r="92" spans="1:49" ht="18" customHeight="1">
      <c r="A92" s="183">
        <v>43009</v>
      </c>
      <c r="B92" s="974">
        <f>'[4]05'!G92</f>
        <v>5290908.6400000006</v>
      </c>
      <c r="C92" s="92">
        <f>'[4]04'!G92</f>
        <v>5358355.75</v>
      </c>
      <c r="D92" s="1189">
        <f t="shared" si="3"/>
        <v>0.98741272264350877</v>
      </c>
      <c r="E92" s="71"/>
      <c r="F92" s="4"/>
      <c r="G92" s="4"/>
      <c r="AW92" s="104"/>
    </row>
    <row r="93" spans="1:49" ht="18" customHeight="1">
      <c r="A93" s="183">
        <v>43040</v>
      </c>
      <c r="B93" s="974">
        <f>'[4]05'!G93</f>
        <v>5297728.42</v>
      </c>
      <c r="C93" s="92">
        <f>'[4]04'!G93</f>
        <v>5354561.01</v>
      </c>
      <c r="D93" s="1189">
        <f t="shared" si="3"/>
        <v>0.98938613456941449</v>
      </c>
      <c r="E93" s="71"/>
      <c r="F93" s="4"/>
      <c r="G93" s="4"/>
      <c r="AW93" s="104"/>
    </row>
    <row r="94" spans="1:49" ht="18" customHeight="1">
      <c r="A94" s="183">
        <v>43070</v>
      </c>
      <c r="B94" s="974">
        <f>'[4]05'!G94</f>
        <v>5268071.87</v>
      </c>
      <c r="C94" s="92">
        <f>'[4]04'!G94</f>
        <v>5326661.93</v>
      </c>
      <c r="D94" s="1189">
        <f t="shared" si="3"/>
        <v>0.98900060473708351</v>
      </c>
      <c r="E94" s="71"/>
      <c r="F94" s="4"/>
      <c r="G94" s="4"/>
      <c r="AW94" s="104"/>
    </row>
    <row r="95" spans="1:49" s="1257" customFormat="1" ht="18" customHeight="1">
      <c r="A95" s="183">
        <v>43101</v>
      </c>
      <c r="B95" s="974">
        <f>'[4]05'!G95</f>
        <v>5282365.1399999997</v>
      </c>
      <c r="C95" s="92">
        <f>'[4]04'!G95</f>
        <v>5301710.4099999992</v>
      </c>
      <c r="D95" s="1189">
        <f t="shared" si="3"/>
        <v>0.99635112661689129</v>
      </c>
      <c r="E95" s="71"/>
      <c r="F95" s="1258"/>
      <c r="G95" s="1258"/>
      <c r="AW95" s="104"/>
    </row>
    <row r="96" spans="1:49" s="1257" customFormat="1" ht="18" customHeight="1">
      <c r="A96" s="183">
        <v>43132</v>
      </c>
      <c r="B96" s="974">
        <f>'[4]05'!G96</f>
        <v>5237825.8199999984</v>
      </c>
      <c r="C96" s="92">
        <f>'[4]04'!G96</f>
        <v>5311053.53</v>
      </c>
      <c r="D96" s="1189">
        <f t="shared" si="3"/>
        <v>0.9862122063755584</v>
      </c>
      <c r="E96" s="71"/>
      <c r="F96" s="1258"/>
      <c r="G96" s="1258"/>
      <c r="AW96" s="104"/>
    </row>
    <row r="97" spans="1:49" s="1257" customFormat="1" ht="18" customHeight="1">
      <c r="A97" s="183">
        <v>43160</v>
      </c>
      <c r="B97" s="91">
        <f>'[4]05'!G97</f>
        <v>5244570.8099999996</v>
      </c>
      <c r="C97" s="92">
        <f>'[4]04'!G97</f>
        <v>5312355.79</v>
      </c>
      <c r="D97" s="1189">
        <f t="shared" si="3"/>
        <v>0.98724012798096106</v>
      </c>
      <c r="E97" s="71"/>
      <c r="F97" s="1258"/>
      <c r="G97" s="1258"/>
      <c r="AW97" s="104"/>
    </row>
    <row r="98" spans="1:49" s="1257" customFormat="1" ht="18" customHeight="1">
      <c r="A98" s="183">
        <v>43191</v>
      </c>
      <c r="B98" s="1806">
        <v>5191170.5000000009</v>
      </c>
      <c r="C98" s="1807">
        <v>5380493.5599999996</v>
      </c>
      <c r="D98" s="1189">
        <f t="shared" si="3"/>
        <v>0.96481306818997503</v>
      </c>
      <c r="E98" s="71"/>
      <c r="F98" s="1258"/>
      <c r="G98" s="1258"/>
      <c r="AW98" s="104"/>
    </row>
    <row r="99" spans="1:49" s="1820" customFormat="1" ht="18" customHeight="1">
      <c r="A99" s="2655">
        <v>43221</v>
      </c>
      <c r="B99" s="1806">
        <v>5208978.68</v>
      </c>
      <c r="C99" s="1807">
        <v>5314339.71</v>
      </c>
      <c r="D99" s="1189">
        <f t="shared" si="3"/>
        <v>0.98017420117089193</v>
      </c>
      <c r="E99" s="71"/>
      <c r="F99" s="1830"/>
      <c r="G99" s="1830"/>
      <c r="AW99" s="104"/>
    </row>
    <row r="100" spans="1:49" s="2638" customFormat="1" ht="18" customHeight="1">
      <c r="A100" s="2655">
        <v>43252</v>
      </c>
      <c r="B100" s="1806">
        <v>5218431.58</v>
      </c>
      <c r="C100" s="1807">
        <v>5315010.5199999996</v>
      </c>
      <c r="D100" s="1189">
        <f t="shared" ref="D100" si="4">B100/C100</f>
        <v>0.98182902185488063</v>
      </c>
      <c r="E100" s="2650"/>
      <c r="F100" s="2639"/>
      <c r="G100" s="2639"/>
      <c r="AW100" s="2651"/>
    </row>
    <row r="101" spans="1:49" s="2638" customFormat="1" ht="18" customHeight="1">
      <c r="A101" s="2655">
        <v>43282</v>
      </c>
      <c r="B101" s="1806">
        <v>5212739.58</v>
      </c>
      <c r="C101" s="1807">
        <v>5320590.09</v>
      </c>
      <c r="D101" s="1189">
        <f t="shared" si="3"/>
        <v>0.97972959612079424</v>
      </c>
      <c r="E101" s="2650"/>
      <c r="F101" s="2639"/>
      <c r="G101" s="2639"/>
      <c r="AW101" s="2651"/>
    </row>
    <row r="102" spans="1:49" s="2638" customFormat="1" ht="18" customHeight="1">
      <c r="A102" s="2655">
        <v>43313</v>
      </c>
      <c r="B102" s="1806">
        <v>5241853.459999999</v>
      </c>
      <c r="C102" s="1807">
        <v>5356433.0999999987</v>
      </c>
      <c r="D102" s="1189">
        <f t="shared" ref="D102" si="5">B102/C102</f>
        <v>0.97860896647808415</v>
      </c>
      <c r="E102" s="2650"/>
      <c r="F102" s="2639"/>
      <c r="G102" s="2639"/>
      <c r="AW102" s="2651"/>
    </row>
    <row r="103" spans="1:49" s="2638" customFormat="1" ht="18" customHeight="1" thickBot="1">
      <c r="A103" s="2655">
        <v>43344</v>
      </c>
      <c r="B103" s="1806">
        <v>5268482.5599999996</v>
      </c>
      <c r="C103" s="1807">
        <v>5388576.3400000008</v>
      </c>
      <c r="D103" s="1189">
        <f t="shared" si="3"/>
        <v>0.97771326368552458</v>
      </c>
      <c r="E103" s="2650"/>
      <c r="F103" s="2639"/>
      <c r="G103" s="2639"/>
      <c r="AW103" s="2651"/>
    </row>
    <row r="104" spans="1:49" ht="19.5" customHeight="1" thickBot="1">
      <c r="A104" s="2717" t="s">
        <v>165</v>
      </c>
      <c r="B104" s="2736">
        <f>+B103/B101-1</f>
        <v>1.0693605376695059E-2</v>
      </c>
      <c r="C104" s="2736">
        <f t="shared" ref="C104:D104" si="6">+C103/C101-1</f>
        <v>1.2777952980775664E-2</v>
      </c>
      <c r="D104" s="2736">
        <f t="shared" si="6"/>
        <v>-2.0580499387313766E-3</v>
      </c>
      <c r="E104" s="4"/>
      <c r="F104" s="4"/>
      <c r="G104" s="4"/>
      <c r="H104" s="4"/>
      <c r="I104" s="4"/>
    </row>
    <row r="105" spans="1:49">
      <c r="A105" s="4"/>
      <c r="B105" s="4"/>
      <c r="C105" s="4"/>
      <c r="D105" s="4"/>
      <c r="E105" s="4"/>
      <c r="F105" s="4"/>
      <c r="G105" s="4"/>
      <c r="H105" s="4"/>
      <c r="I105" s="4"/>
      <c r="J105" s="4"/>
    </row>
    <row r="106" spans="1:49">
      <c r="A106" s="4"/>
      <c r="B106" s="4"/>
      <c r="C106" s="4"/>
      <c r="D106" s="4"/>
      <c r="E106" s="4"/>
      <c r="F106" s="4"/>
      <c r="G106" s="4"/>
      <c r="H106" s="4"/>
      <c r="I106" s="4"/>
      <c r="J106" s="4"/>
    </row>
    <row r="107" spans="1:49">
      <c r="A107" s="4"/>
      <c r="B107" s="4"/>
      <c r="C107" s="4"/>
      <c r="D107" s="4"/>
      <c r="E107" s="4"/>
      <c r="F107" s="4"/>
      <c r="G107" s="4"/>
      <c r="H107" s="4"/>
      <c r="I107" s="4"/>
      <c r="J107" s="4"/>
    </row>
    <row r="108" spans="1:49">
      <c r="A108" s="4"/>
      <c r="B108" s="4"/>
      <c r="C108" s="4"/>
      <c r="D108" s="4"/>
      <c r="E108" s="4"/>
      <c r="F108" s="4"/>
      <c r="G108" s="4"/>
      <c r="H108" s="4"/>
      <c r="I108" s="4"/>
      <c r="J108" s="4"/>
    </row>
    <row r="109" spans="1:49">
      <c r="A109" s="4"/>
      <c r="B109" s="4"/>
      <c r="C109" s="4"/>
      <c r="D109" s="4"/>
      <c r="E109" s="4"/>
      <c r="F109" s="4"/>
      <c r="G109" s="4"/>
      <c r="H109" s="4"/>
      <c r="I109" s="4"/>
      <c r="J109" s="4"/>
    </row>
    <row r="110" spans="1:49">
      <c r="A110" s="4"/>
      <c r="B110" s="4"/>
      <c r="C110" s="4"/>
      <c r="D110" s="4"/>
      <c r="E110" s="4"/>
      <c r="F110" s="4"/>
      <c r="G110" s="4"/>
      <c r="H110" s="4"/>
      <c r="I110" s="4"/>
      <c r="J110" s="4"/>
    </row>
    <row r="111" spans="1:49">
      <c r="A111" s="4"/>
      <c r="B111" s="4"/>
      <c r="C111" s="4"/>
      <c r="D111" s="4"/>
      <c r="E111" s="4"/>
      <c r="F111" s="4"/>
      <c r="G111" s="4"/>
      <c r="H111" s="4"/>
      <c r="I111" s="4"/>
      <c r="J111" s="4"/>
    </row>
    <row r="112" spans="1:49">
      <c r="A112" s="4"/>
      <c r="B112" s="4"/>
      <c r="C112" s="4"/>
      <c r="D112" s="4"/>
      <c r="E112" s="4"/>
      <c r="F112" s="4"/>
      <c r="G112" s="4"/>
      <c r="H112" s="4"/>
      <c r="I112" s="4"/>
      <c r="J112" s="4"/>
    </row>
    <row r="113" spans="1:10">
      <c r="A113" s="4"/>
      <c r="B113" s="4"/>
      <c r="C113" s="4"/>
      <c r="D113" s="4"/>
      <c r="E113" s="4"/>
      <c r="F113" s="4"/>
      <c r="G113" s="4"/>
      <c r="H113" s="4"/>
      <c r="I113" s="4"/>
      <c r="J113" s="4"/>
    </row>
    <row r="114" spans="1:10">
      <c r="A114" s="4"/>
      <c r="B114" s="4"/>
      <c r="C114" s="4"/>
      <c r="D114" s="4"/>
      <c r="E114" s="4"/>
      <c r="F114" s="4"/>
      <c r="G114" s="4"/>
      <c r="H114" s="4"/>
      <c r="I114" s="4"/>
      <c r="J114" s="4"/>
    </row>
    <row r="115" spans="1:10">
      <c r="A115" s="4"/>
      <c r="B115" s="4"/>
      <c r="C115" s="4"/>
      <c r="D115" s="4"/>
      <c r="E115" s="4"/>
      <c r="F115" s="4"/>
      <c r="G115" s="4"/>
      <c r="H115" s="4"/>
      <c r="I115" s="4"/>
      <c r="J115" s="4"/>
    </row>
    <row r="116" spans="1:10">
      <c r="A116" s="4"/>
      <c r="B116" s="4"/>
      <c r="C116" s="4"/>
      <c r="D116" s="4"/>
      <c r="E116" s="4"/>
      <c r="F116" s="4"/>
      <c r="G116" s="4"/>
      <c r="H116" s="4"/>
      <c r="I116" s="4"/>
      <c r="J116" s="4"/>
    </row>
    <row r="117" spans="1:10">
      <c r="A117" s="4"/>
      <c r="B117" s="4"/>
      <c r="C117" s="4"/>
      <c r="D117" s="4"/>
      <c r="E117" s="4"/>
      <c r="F117" s="4"/>
      <c r="G117" s="4"/>
      <c r="H117" s="4"/>
      <c r="I117" s="4"/>
      <c r="J117" s="4"/>
    </row>
    <row r="118" spans="1:10">
      <c r="A118" s="4"/>
      <c r="B118" s="4"/>
      <c r="C118" s="4"/>
      <c r="D118" s="4"/>
      <c r="E118" s="4"/>
      <c r="F118" s="4"/>
      <c r="G118" s="4"/>
      <c r="H118" s="4"/>
      <c r="I118" s="4"/>
      <c r="J118" s="4"/>
    </row>
    <row r="119" spans="1:10">
      <c r="A119" s="4"/>
      <c r="B119" s="4"/>
      <c r="C119" s="4"/>
      <c r="D119" s="4"/>
      <c r="E119" s="4"/>
      <c r="F119" s="4"/>
      <c r="G119" s="4"/>
      <c r="H119" s="4"/>
      <c r="I119" s="4"/>
      <c r="J119" s="4"/>
    </row>
    <row r="120" spans="1:10">
      <c r="A120" s="4"/>
      <c r="B120" s="4"/>
      <c r="C120" s="4"/>
      <c r="D120" s="4"/>
      <c r="E120" s="4"/>
      <c r="F120" s="4"/>
      <c r="G120" s="4"/>
      <c r="H120" s="4"/>
      <c r="I120" s="4"/>
      <c r="J120" s="4"/>
    </row>
    <row r="121" spans="1:10">
      <c r="A121" s="4"/>
      <c r="B121" s="4"/>
      <c r="C121" s="4"/>
      <c r="D121" s="4"/>
      <c r="E121" s="4"/>
      <c r="F121" s="4"/>
      <c r="G121" s="4"/>
      <c r="H121" s="4"/>
      <c r="I121" s="4"/>
      <c r="J121" s="4"/>
    </row>
    <row r="122" spans="1:10">
      <c r="A122" s="4"/>
      <c r="B122" s="4"/>
      <c r="C122" s="4"/>
      <c r="D122" s="4"/>
      <c r="E122" s="4"/>
      <c r="F122" s="4"/>
      <c r="G122" s="4"/>
      <c r="H122" s="4"/>
      <c r="I122" s="4"/>
      <c r="J122" s="4"/>
    </row>
    <row r="123" spans="1:10">
      <c r="A123" s="4"/>
      <c r="B123" s="4"/>
      <c r="C123" s="4"/>
      <c r="D123" s="4"/>
      <c r="E123" s="4"/>
      <c r="F123" s="4"/>
      <c r="G123" s="4"/>
      <c r="H123" s="4"/>
      <c r="I123" s="4"/>
      <c r="J123" s="4"/>
    </row>
    <row r="124" spans="1:10">
      <c r="A124" s="4"/>
      <c r="B124" s="4"/>
      <c r="C124" s="4"/>
      <c r="D124" s="4"/>
      <c r="E124" s="4"/>
      <c r="F124" s="4"/>
      <c r="G124" s="4"/>
      <c r="H124" s="4"/>
      <c r="I124" s="4"/>
      <c r="J124" s="4"/>
    </row>
    <row r="125" spans="1:10">
      <c r="A125" s="4"/>
      <c r="B125" s="4"/>
      <c r="C125" s="4"/>
      <c r="D125" s="4"/>
      <c r="E125" s="4"/>
      <c r="F125" s="4"/>
      <c r="G125" s="4"/>
      <c r="H125" s="4"/>
      <c r="I125" s="4"/>
      <c r="J125" s="4"/>
    </row>
    <row r="126" spans="1:10">
      <c r="A126" s="4"/>
      <c r="B126" s="4"/>
      <c r="C126" s="4"/>
      <c r="D126" s="4"/>
      <c r="E126" s="4"/>
      <c r="F126" s="4"/>
      <c r="G126" s="4"/>
      <c r="H126" s="4"/>
      <c r="I126" s="4"/>
      <c r="J126" s="4"/>
    </row>
    <row r="127" spans="1:10">
      <c r="A127" s="4"/>
      <c r="B127" s="4"/>
      <c r="C127" s="4"/>
      <c r="D127" s="4"/>
      <c r="E127" s="4"/>
      <c r="F127" s="4"/>
      <c r="G127" s="4"/>
      <c r="H127" s="4"/>
      <c r="I127" s="4"/>
      <c r="J127" s="4"/>
    </row>
    <row r="128" spans="1:10">
      <c r="A128" s="51"/>
      <c r="B128" s="4"/>
      <c r="C128" s="4"/>
      <c r="D128" s="4"/>
      <c r="E128" s="4"/>
      <c r="F128" s="4"/>
      <c r="G128" s="4"/>
      <c r="H128" s="4"/>
      <c r="I128" s="4"/>
      <c r="J128" s="4"/>
    </row>
    <row r="129" spans="1:10">
      <c r="A129" s="4"/>
      <c r="B129" s="4"/>
      <c r="C129" s="4"/>
      <c r="D129" s="4"/>
      <c r="E129" s="4"/>
      <c r="F129" s="4"/>
      <c r="G129" s="4"/>
      <c r="J129" s="4"/>
    </row>
    <row r="130" spans="1:10">
      <c r="A130" s="4"/>
      <c r="B130" s="4"/>
      <c r="C130" s="4"/>
      <c r="D130" s="4"/>
      <c r="E130" s="4"/>
      <c r="F130" s="4"/>
      <c r="G130" s="4"/>
    </row>
    <row r="131" spans="1:10">
      <c r="A131" s="4"/>
      <c r="B131" s="4"/>
      <c r="C131" s="4"/>
      <c r="D131" s="4"/>
      <c r="E131" s="4"/>
      <c r="F131" s="4"/>
    </row>
    <row r="427" spans="1:7">
      <c r="G427" s="42"/>
    </row>
    <row r="428" spans="1:7">
      <c r="A428" s="97"/>
      <c r="B428" s="42"/>
      <c r="C428" s="42"/>
      <c r="D428" s="42"/>
      <c r="E428" s="42"/>
      <c r="F428" s="42"/>
      <c r="G428" s="4"/>
    </row>
    <row r="429" spans="1:7">
      <c r="A429" s="51"/>
      <c r="B429" s="4"/>
      <c r="C429" s="4"/>
      <c r="D429" s="4"/>
      <c r="E429" s="4"/>
      <c r="F429" s="4"/>
      <c r="G429" s="4"/>
    </row>
    <row r="430" spans="1:7">
      <c r="A430" s="51"/>
      <c r="B430" s="4"/>
      <c r="C430" s="4"/>
      <c r="D430" s="4"/>
      <c r="E430" s="4"/>
      <c r="F430" s="4"/>
      <c r="G430" s="4"/>
    </row>
    <row r="431" spans="1:7">
      <c r="A431" s="51"/>
      <c r="B431" s="4"/>
      <c r="C431" s="4"/>
      <c r="D431" s="4"/>
      <c r="E431" s="4"/>
      <c r="F431" s="4"/>
      <c r="G431" s="4"/>
    </row>
    <row r="432" spans="1:7">
      <c r="A432" s="51"/>
      <c r="B432" s="4"/>
      <c r="C432" s="4"/>
      <c r="D432" s="4"/>
      <c r="E432" s="4"/>
      <c r="F432" s="4"/>
      <c r="G432" s="4"/>
    </row>
    <row r="433" spans="1:7">
      <c r="A433" s="51"/>
      <c r="B433" s="4"/>
      <c r="C433" s="4"/>
      <c r="D433" s="4"/>
      <c r="E433" s="4"/>
      <c r="F433" s="4"/>
      <c r="G433" s="4"/>
    </row>
    <row r="434" spans="1:7">
      <c r="A434" s="51"/>
      <c r="B434" s="4"/>
      <c r="C434" s="4"/>
      <c r="D434" s="4"/>
      <c r="E434" s="4"/>
      <c r="F434" s="4"/>
      <c r="G434" s="4"/>
    </row>
    <row r="435" spans="1:7">
      <c r="A435" s="51"/>
      <c r="B435" s="4"/>
      <c r="C435" s="4"/>
      <c r="D435" s="4"/>
      <c r="E435" s="4"/>
      <c r="F435" s="4"/>
      <c r="G435" s="4"/>
    </row>
    <row r="436" spans="1:7">
      <c r="A436" s="51"/>
      <c r="B436" s="4"/>
      <c r="C436" s="4"/>
      <c r="D436" s="4"/>
      <c r="E436" s="4"/>
      <c r="F436" s="4"/>
      <c r="G436" s="4"/>
    </row>
    <row r="437" spans="1:7">
      <c r="A437" s="51"/>
      <c r="B437" s="4"/>
      <c r="C437" s="4"/>
      <c r="D437" s="4"/>
      <c r="E437" s="4"/>
      <c r="F437" s="4"/>
      <c r="G437" s="4"/>
    </row>
    <row r="438" spans="1:7">
      <c r="A438" s="51"/>
      <c r="B438" s="4"/>
      <c r="C438" s="4"/>
      <c r="D438" s="4"/>
      <c r="E438" s="4"/>
      <c r="F438" s="4"/>
      <c r="G438" s="4"/>
    </row>
    <row r="439" spans="1:7">
      <c r="A439" s="51"/>
      <c r="B439" s="4"/>
      <c r="C439" s="4"/>
      <c r="D439" s="4"/>
      <c r="E439" s="4"/>
      <c r="F439" s="4"/>
      <c r="G439" s="4"/>
    </row>
    <row r="440" spans="1:7">
      <c r="A440" s="51"/>
      <c r="B440" s="4"/>
      <c r="C440" s="4"/>
      <c r="D440" s="4"/>
      <c r="E440" s="4"/>
      <c r="F440" s="4"/>
      <c r="G440" s="4"/>
    </row>
    <row r="441" spans="1:7">
      <c r="A441" s="51"/>
      <c r="B441" s="4"/>
      <c r="C441" s="4"/>
      <c r="D441" s="4"/>
      <c r="E441" s="4"/>
      <c r="F441" s="4"/>
      <c r="G441" s="4"/>
    </row>
    <row r="442" spans="1:7">
      <c r="A442" s="51"/>
      <c r="B442" s="4"/>
      <c r="C442" s="4"/>
      <c r="D442" s="4"/>
      <c r="E442" s="4"/>
      <c r="F442" s="4"/>
      <c r="G442" s="4"/>
    </row>
    <row r="443" spans="1:7">
      <c r="A443" s="51"/>
      <c r="B443" s="4"/>
      <c r="C443" s="4"/>
      <c r="D443" s="4"/>
      <c r="E443" s="4"/>
      <c r="F443" s="4"/>
      <c r="G443" s="4"/>
    </row>
    <row r="444" spans="1:7">
      <c r="A444" s="51"/>
      <c r="B444" s="4"/>
      <c r="C444" s="4"/>
      <c r="D444" s="4"/>
      <c r="E444" s="4"/>
      <c r="F444" s="4"/>
      <c r="G444" s="4"/>
    </row>
    <row r="445" spans="1:7">
      <c r="A445" s="51"/>
      <c r="B445" s="4"/>
      <c r="C445" s="4"/>
      <c r="D445" s="4"/>
      <c r="E445" s="4"/>
      <c r="F445" s="4"/>
      <c r="G445" s="4"/>
    </row>
    <row r="446" spans="1:7">
      <c r="A446" s="51"/>
      <c r="B446" s="4"/>
      <c r="C446" s="4"/>
      <c r="D446" s="4"/>
      <c r="E446" s="4"/>
      <c r="F446" s="4"/>
      <c r="G446" s="4"/>
    </row>
    <row r="447" spans="1:7">
      <c r="A447" s="51"/>
      <c r="B447" s="4"/>
      <c r="C447" s="4"/>
      <c r="D447" s="4"/>
      <c r="E447" s="4"/>
      <c r="F447" s="4"/>
      <c r="G447" s="40"/>
    </row>
    <row r="448" spans="1:7">
      <c r="A448" s="53"/>
      <c r="B448" s="40"/>
      <c r="C448" s="40"/>
      <c r="D448" s="40"/>
      <c r="E448" s="40"/>
      <c r="F448" s="40"/>
    </row>
  </sheetData>
  <mergeCells count="8">
    <mergeCell ref="A1:G1"/>
    <mergeCell ref="C3:G3"/>
    <mergeCell ref="C8:G8"/>
    <mergeCell ref="C2:F2"/>
    <mergeCell ref="C4:G4"/>
    <mergeCell ref="C5:G5"/>
    <mergeCell ref="C6:G6"/>
    <mergeCell ref="C7:G7"/>
  </mergeCells>
  <printOptions horizontalCentered="1" verticalCentered="1"/>
  <pageMargins left="0.78740157480314965" right="0.78740157480314965" top="0.59055118110236227" bottom="0.3937007874015748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37</vt:i4>
      </vt:variant>
    </vt:vector>
  </HeadingPairs>
  <TitlesOfParts>
    <vt:vector size="70" baseType="lpstr">
      <vt:lpstr>CONTENIDOS</vt:lpstr>
      <vt:lpstr>RESUMEN </vt:lpstr>
      <vt:lpstr>01_MWh GENERACIÓN</vt:lpstr>
      <vt:lpstr>02_CONSUMO COMBUSTIBLE</vt:lpstr>
      <vt:lpstr>02_2_Ahorro_Galones</vt:lpstr>
      <vt:lpstr>03_MWh CONSUMIDA</vt:lpstr>
      <vt:lpstr>04_FACT x kWh CONSUMIDA</vt:lpstr>
      <vt:lpstr>05_RECAU X kWh CONSUMIDA</vt:lpstr>
      <vt:lpstr>06_IND_RECAUDACION</vt:lpstr>
      <vt:lpstr>07_IND_RECAUDACION</vt:lpstr>
      <vt:lpstr>08_CARTERA VENCIDA &gt;30</vt:lpstr>
      <vt:lpstr>09_PÉRDIDAS </vt:lpstr>
      <vt:lpstr>10_TTIK_2013_cabecera </vt:lpstr>
      <vt:lpstr>11_FMIK_2013_cabecera </vt:lpstr>
      <vt:lpstr>12_# MEDIDORES </vt:lpstr>
      <vt:lpstr>13_CLIENTES</vt:lpstr>
      <vt:lpstr>14_CLIENTxTRAB_electric </vt:lpstr>
      <vt:lpstr>15_PEF_2015-2016</vt:lpstr>
      <vt:lpstr>17_Pago horas extras</vt:lpstr>
      <vt:lpstr>18_ISC </vt:lpstr>
      <vt:lpstr>19 PRESUPUESTO  </vt:lpstr>
      <vt:lpstr>20 COMPRAS </vt:lpstr>
      <vt:lpstr>21_RENOVA</vt:lpstr>
      <vt:lpstr>22_PROYECTOS RENOVABLE</vt:lpstr>
      <vt:lpstr>23_CAMBIO_MEDIDORES</vt:lpstr>
      <vt:lpstr>24_PROYECTO_PEC</vt:lpstr>
      <vt:lpstr>25_PROYECTOS INVER</vt:lpstr>
      <vt:lpstr>26_CAPACITACIÓN.</vt:lpstr>
      <vt:lpstr>27_RESPONSABILIDAD SOCIAL.</vt:lpstr>
      <vt:lpstr>CIUDADANIA</vt:lpstr>
      <vt:lpstr>FINANZAS</vt:lpstr>
      <vt:lpstr>OPERACION</vt:lpstr>
      <vt:lpstr>APRENDIZAJE</vt:lpstr>
      <vt:lpstr>'01_MWh GENERACIÓN'!Área_de_impresión</vt:lpstr>
      <vt:lpstr>'02_2_Ahorro_Galones'!Área_de_impresión</vt:lpstr>
      <vt:lpstr>'02_CONSUMO COMBUSTIBLE'!Área_de_impresión</vt:lpstr>
      <vt:lpstr>'03_MWh CONSUMIDA'!Área_de_impresión</vt:lpstr>
      <vt:lpstr>'04_FACT x kWh CONSUMIDA'!Área_de_impresión</vt:lpstr>
      <vt:lpstr>'05_RECAU X kWh CONSUMIDA'!Área_de_impresión</vt:lpstr>
      <vt:lpstr>'06_IND_RECAUDACION'!Área_de_impresión</vt:lpstr>
      <vt:lpstr>'07_IND_RECAUDACION'!Área_de_impresión</vt:lpstr>
      <vt:lpstr>'08_CARTERA VENCIDA &gt;30'!Área_de_impresión</vt:lpstr>
      <vt:lpstr>'09_PÉRDIDAS '!Área_de_impresión</vt:lpstr>
      <vt:lpstr>'10_TTIK_2013_cabecera '!Área_de_impresión</vt:lpstr>
      <vt:lpstr>'11_FMIK_2013_cabecera '!Área_de_impresión</vt:lpstr>
      <vt:lpstr>'12_# MEDIDORES '!Área_de_impresión</vt:lpstr>
      <vt:lpstr>'13_CLIENTES'!Área_de_impresión</vt:lpstr>
      <vt:lpstr>'14_CLIENTxTRAB_electric '!Área_de_impresión</vt:lpstr>
      <vt:lpstr>'15_PEF_2015-2016'!Área_de_impresión</vt:lpstr>
      <vt:lpstr>'17_Pago horas extras'!Área_de_impresión</vt:lpstr>
      <vt:lpstr>'18_ISC '!Área_de_impresión</vt:lpstr>
      <vt:lpstr>'19 PRESUPUESTO  '!Área_de_impresión</vt:lpstr>
      <vt:lpstr>'20 COMPRAS '!Área_de_impresión</vt:lpstr>
      <vt:lpstr>'21_RENOVA'!Área_de_impresión</vt:lpstr>
      <vt:lpstr>'22_PROYECTOS RENOVABLE'!Área_de_impresión</vt:lpstr>
      <vt:lpstr>'23_CAMBIO_MEDIDORES'!Área_de_impresión</vt:lpstr>
      <vt:lpstr>'24_PROYECTO_PEC'!Área_de_impresión</vt:lpstr>
      <vt:lpstr>'25_PROYECTOS INVER'!Área_de_impresión</vt:lpstr>
      <vt:lpstr>'26_CAPACITACIÓN.'!Área_de_impresión</vt:lpstr>
      <vt:lpstr>'27_RESPONSABILIDAD SOCIAL.'!Área_de_impresión</vt:lpstr>
      <vt:lpstr>APRENDIZAJE!Área_de_impresión</vt:lpstr>
      <vt:lpstr>CIUDADANIA!Área_de_impresión</vt:lpstr>
      <vt:lpstr>CONTENIDOS!Área_de_impresión</vt:lpstr>
      <vt:lpstr>FINANZAS!Área_de_impresión</vt:lpstr>
      <vt:lpstr>OPERACION!Área_de_impresión</vt:lpstr>
      <vt:lpstr>'14_CLIENTxTRAB_electric '!juan</vt:lpstr>
      <vt:lpstr>'09_PÉRDIDAS '!Print_Area</vt:lpstr>
      <vt:lpstr>'14_CLIENTxTRAB_electric '!Print_Area</vt:lpstr>
      <vt:lpstr>'09_PÉRDIDAS '!se</vt:lpstr>
      <vt:lpstr>'RESUMEN '!Títulos_a_imprimir</vt:lpstr>
    </vt:vector>
  </TitlesOfParts>
  <Company>DIPLA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Rodríguez</dc:creator>
  <cp:lastModifiedBy>german aman</cp:lastModifiedBy>
  <cp:lastPrinted>2018-12-10T17:29:35Z</cp:lastPrinted>
  <dcterms:created xsi:type="dcterms:W3CDTF">2012-02-06T21:31:37Z</dcterms:created>
  <dcterms:modified xsi:type="dcterms:W3CDTF">2018-12-10T17:30:42Z</dcterms:modified>
</cp:coreProperties>
</file>